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4"/>
    <sheet state="visible" name="3 Year Annual Projection" sheetId="2" r:id="rId5"/>
    <sheet state="visible" name="BLENDED 3 Year Monthly Projecti" sheetId="3" r:id="rId6"/>
    <sheet state="visible" name="Multiverse 3 Year Monthly Proje" sheetId="4" r:id="rId7"/>
    <sheet state="visible" name="SuperMush 3 Year Monthly Projec" sheetId="5" r:id="rId8"/>
    <sheet state="visible" name="Annual Marketing Spend" sheetId="6" r:id="rId9"/>
    <sheet state="visible" name="Monthly Budget" sheetId="7" r:id="rId10"/>
    <sheet state="visible" name="Employee Payroll" sheetId="8" r:id="rId11"/>
    <sheet state="visible" name="Serviceable Obtainable Market" sheetId="9" r:id="rId12"/>
    <sheet state="visible" name="Prime Labs Estimated Cost" sheetId="10" r:id="rId13"/>
    <sheet state="visible" name="Change Log" sheetId="11" r:id="rId14"/>
  </sheets>
  <definedNames/>
  <calcPr/>
  <extLst>
    <ext uri="GoogleSheetsCustomDataVersion1">
      <go:sheetsCustomData xmlns:go="http://customooxmlschemas.google.com/" r:id="rId15" roundtripDataSignature="AMtx7milgk+ptfooQoGpNvFyt79ZBPigMQ=="/>
    </ext>
  </extLst>
</workbook>
</file>

<file path=xl/sharedStrings.xml><?xml version="1.0" encoding="utf-8"?>
<sst xmlns="http://schemas.openxmlformats.org/spreadsheetml/2006/main" count="519" uniqueCount="242">
  <si>
    <t>MULTIVERSE</t>
  </si>
  <si>
    <t>Financial Model Summary</t>
  </si>
  <si>
    <t>Forecast</t>
  </si>
  <si>
    <t>Revenue</t>
  </si>
  <si>
    <t>Multiverse Marketplace Sales</t>
  </si>
  <si>
    <t>35% Commission</t>
  </si>
  <si>
    <t>Supermush by Multiverse Sales</t>
  </si>
  <si>
    <t>72% Profit Margin</t>
  </si>
  <si>
    <t>Into The Multiverse Pop Up Sales (4 months)</t>
  </si>
  <si>
    <t>25% Commission + $200 brand placement fee</t>
  </si>
  <si>
    <t>Into The Multiverse Podcast Sponsorship</t>
  </si>
  <si>
    <t>$2000/episode for 2021 year, 4k/2022 &amp; 8k/2023</t>
  </si>
  <si>
    <t xml:space="preserve">Multiverse Sponsored Brand Listings </t>
  </si>
  <si>
    <t>$1,000/Listing</t>
  </si>
  <si>
    <t>Total Revenues</t>
  </si>
  <si>
    <t>Cost of Goods Sold</t>
  </si>
  <si>
    <t>COGS</t>
  </si>
  <si>
    <t>Web Design (Outline)</t>
  </si>
  <si>
    <t>Web Development (Kinful)</t>
  </si>
  <si>
    <t>SuperMush Product Formulation (East Breuckelen Co)</t>
  </si>
  <si>
    <t>SuperMush Product Development (Prime Labs) + COGS</t>
  </si>
  <si>
    <t>Platform Cost/Year (Shopify Stores/Plug-ins)</t>
  </si>
  <si>
    <t>3PL Cost</t>
  </si>
  <si>
    <t>Total Cost of Goods Sold</t>
  </si>
  <si>
    <t>Gross Margin</t>
  </si>
  <si>
    <t>%</t>
  </si>
  <si>
    <t>Operating Expenses</t>
  </si>
  <si>
    <t>Research and Development</t>
  </si>
  <si>
    <t>Salaries &amp; Benefits</t>
  </si>
  <si>
    <t>Licenses &amp; Fees</t>
  </si>
  <si>
    <t>Total Research and Development</t>
  </si>
  <si>
    <t>Sales</t>
  </si>
  <si>
    <t xml:space="preserve">Marketing </t>
  </si>
  <si>
    <t>Marketing Budget</t>
  </si>
  <si>
    <t>Total Sales and Marketing</t>
  </si>
  <si>
    <t>Ops, Customer Success &amp; Support</t>
  </si>
  <si>
    <t>Operations &amp; Customer Success</t>
  </si>
  <si>
    <t>General and Administrative</t>
  </si>
  <si>
    <t>Founder - Salaries &amp; Benefits</t>
  </si>
  <si>
    <t>Legal Expenses</t>
  </si>
  <si>
    <t>Finance &amp; Accounting</t>
  </si>
  <si>
    <t>Rent &amp; Utilities</t>
  </si>
  <si>
    <t>Health Insurance</t>
  </si>
  <si>
    <t>Vision Insurance</t>
  </si>
  <si>
    <t>Dental Insurance</t>
  </si>
  <si>
    <t>Design &amp; Creative</t>
  </si>
  <si>
    <t>Total General and Administrative</t>
  </si>
  <si>
    <t>Total Operating Expenses</t>
  </si>
  <si>
    <t>Earnings (Loss) Before Interest &amp; Taxes (EBIT)</t>
  </si>
  <si>
    <t>Income Tax Expense</t>
  </si>
  <si>
    <t>Net Income</t>
  </si>
  <si>
    <t>3 Year Annual Projection</t>
  </si>
  <si>
    <t>Year</t>
  </si>
  <si>
    <t>Total</t>
  </si>
  <si>
    <t>Technology</t>
  </si>
  <si>
    <t>Founders</t>
  </si>
  <si>
    <t>Professional Services</t>
  </si>
  <si>
    <t xml:space="preserve">Design &amp; Creative </t>
  </si>
  <si>
    <t>Contractor Expenses</t>
  </si>
  <si>
    <t xml:space="preserve">Office </t>
  </si>
  <si>
    <t>Rent</t>
  </si>
  <si>
    <t>Utilities &amp; Internet</t>
  </si>
  <si>
    <t xml:space="preserve">Human Resources </t>
  </si>
  <si>
    <t>Total Expenses (Annual Allocation)</t>
  </si>
  <si>
    <t>Earnings Before Interest &amp; Taxes (EBIT) (Annual Allocation)</t>
  </si>
  <si>
    <t>Profit Margin (Percentage) (Annual Allocation)</t>
  </si>
  <si>
    <t>Burn Rate (Per Month)</t>
  </si>
  <si>
    <t>3 Year Monthly Projection</t>
  </si>
  <si>
    <t>Month</t>
  </si>
  <si>
    <t>$2000/episode for 2021year, 5k/2022 &amp; 8k/2023</t>
  </si>
  <si>
    <t>3PL</t>
  </si>
  <si>
    <t>Technology/Product</t>
  </si>
  <si>
    <t>Sales Budget</t>
  </si>
  <si>
    <t>Social Media Manager(s)</t>
  </si>
  <si>
    <t>Marketing Budget (LSG)</t>
  </si>
  <si>
    <t>Marketing Spend (Ads)</t>
  </si>
  <si>
    <t>Burn Rate</t>
  </si>
  <si>
    <t>Annual Revenue</t>
  </si>
  <si>
    <t>Annual EBIT</t>
  </si>
  <si>
    <t>Annual Expenses</t>
  </si>
  <si>
    <t>Net Margin</t>
  </si>
  <si>
    <t>SUPERMUSH</t>
  </si>
  <si>
    <t>Annual Marketing Spend*</t>
  </si>
  <si>
    <t>*Fiscal 12 month year starts in September</t>
  </si>
  <si>
    <t>Category</t>
  </si>
  <si>
    <t>Milestone</t>
  </si>
  <si>
    <t>Vendor</t>
  </si>
  <si>
    <t>Budget</t>
  </si>
  <si>
    <t>Frequency</t>
  </si>
  <si>
    <t>Start Date</t>
  </si>
  <si>
    <t>End Date</t>
  </si>
  <si>
    <t>Mouthspray Formulation</t>
  </si>
  <si>
    <t>East Breuckelen Co</t>
  </si>
  <si>
    <t>Monthly</t>
  </si>
  <si>
    <t>Sample Bottles</t>
  </si>
  <si>
    <t>Berlin</t>
  </si>
  <si>
    <t>One time</t>
  </si>
  <si>
    <t>not in projections yet</t>
  </si>
  <si>
    <t>Sample Labels</t>
  </si>
  <si>
    <t>Lithographix</t>
  </si>
  <si>
    <t>TBD</t>
  </si>
  <si>
    <t>Samples Boxes</t>
  </si>
  <si>
    <t>Production Bottles</t>
  </si>
  <si>
    <t>Production Labels</t>
  </si>
  <si>
    <t>Diamond</t>
  </si>
  <si>
    <t>Production Boxes</t>
  </si>
  <si>
    <t>Mouthspray Production (Run 1)</t>
  </si>
  <si>
    <t>MYKU Biosciences</t>
  </si>
  <si>
    <t>Paid over 2 installments</t>
  </si>
  <si>
    <t>Marketplace Hosting</t>
  </si>
  <si>
    <t>Shopify</t>
  </si>
  <si>
    <t>3PL Storage Fee</t>
  </si>
  <si>
    <t>Shipbob</t>
  </si>
  <si>
    <t>3PL Pick &amp; Pack Fee</t>
  </si>
  <si>
    <t>Available Budget</t>
  </si>
  <si>
    <t>Sales and Marketing</t>
  </si>
  <si>
    <t>Branding and Package Design</t>
  </si>
  <si>
    <t>Wonderkind</t>
  </si>
  <si>
    <t>Website Design</t>
  </si>
  <si>
    <t>Outline</t>
  </si>
  <si>
    <t>Website Development</t>
  </si>
  <si>
    <t>Kinful</t>
  </si>
  <si>
    <t>Product Photoshoot</t>
  </si>
  <si>
    <t>Email Marketing</t>
  </si>
  <si>
    <t>Lunar Solar Group</t>
  </si>
  <si>
    <t>Paid Digital Advertising</t>
  </si>
  <si>
    <t>Google Ad Management</t>
  </si>
  <si>
    <t>Growth Advisor</t>
  </si>
  <si>
    <t>Sofia</t>
  </si>
  <si>
    <t>Increasing to 1k in June for SuperMush</t>
  </si>
  <si>
    <t>Customer Success &amp; Support</t>
  </si>
  <si>
    <t>GL Law</t>
  </si>
  <si>
    <t>Quickbooks</t>
  </si>
  <si>
    <t>Bring Propellor or bookkeeper on in 11/21</t>
  </si>
  <si>
    <t>Sofia/Wonderkind</t>
  </si>
  <si>
    <t>Health Insurance/EE</t>
  </si>
  <si>
    <t>Vision Insurance/EE</t>
  </si>
  <si>
    <t>Dental Insurance/EE</t>
  </si>
  <si>
    <t xml:space="preserve">Employee Payroll </t>
  </si>
  <si>
    <t>Product (CPG)</t>
  </si>
  <si>
    <t xml:space="preserve"># of Product Managers </t>
  </si>
  <si>
    <t>Product Manager (Annual)</t>
  </si>
  <si>
    <t>Total Product Cost</t>
  </si>
  <si>
    <t>Software (Website)</t>
  </si>
  <si>
    <t xml:space="preserve"># of Programmer </t>
  </si>
  <si>
    <t>Programmer (Annual)</t>
  </si>
  <si>
    <t>Total Software Cost</t>
  </si>
  <si>
    <t>Est. Hiring 11/21</t>
  </si>
  <si>
    <t># of Development Representatives</t>
  </si>
  <si>
    <t>Development Representatives (Annual)</t>
  </si>
  <si>
    <t># of Account Executives</t>
  </si>
  <si>
    <t>Account Executives (Annual)</t>
  </si>
  <si>
    <t>Total Sales Cost</t>
  </si>
  <si>
    <t>Marketing</t>
  </si>
  <si>
    <t># of Employees</t>
  </si>
  <si>
    <t>Employee (Annual)</t>
  </si>
  <si>
    <t>Total Marketing Cost</t>
  </si>
  <si>
    <t>Est. Hiring 7/21</t>
  </si>
  <si>
    <t># of Managers</t>
  </si>
  <si>
    <t>Customer Support / Shipping (Annual)</t>
  </si>
  <si>
    <t>Total Operations Cost</t>
  </si>
  <si>
    <t>Founder</t>
  </si>
  <si>
    <t># of Founders</t>
  </si>
  <si>
    <t>Founder (Annual)</t>
  </si>
  <si>
    <t>Total Founder Cost</t>
  </si>
  <si>
    <t>Total Employee Count</t>
  </si>
  <si>
    <t xml:space="preserve">Total Payroll Cost </t>
  </si>
  <si>
    <t>Serviceable Obtainable Market</t>
  </si>
  <si>
    <t>Percentage of US Population</t>
  </si>
  <si>
    <t>US Population</t>
  </si>
  <si>
    <t>US Urban Population</t>
  </si>
  <si>
    <t>Gen Y Population</t>
  </si>
  <si>
    <t>Gen Z Population</t>
  </si>
  <si>
    <t>Gen Y Urban Population</t>
  </si>
  <si>
    <t>Gen Z Urban Population</t>
  </si>
  <si>
    <t>Gen Y and Gen Z Urban Population</t>
  </si>
  <si>
    <t>Gen Y and Gen Z Urban Population Health and Wellness</t>
  </si>
  <si>
    <t>Gen Y and Gen Z Urban Population Health and Wellness Adaptogen</t>
  </si>
  <si>
    <t xml:space="preserve">Potential Multiverse Marketplace Acquired Customers </t>
  </si>
  <si>
    <t>Supermush by Multiverse Sales Acquired Customers</t>
  </si>
  <si>
    <t>Potential Multiverse Content Monthly Subscribers</t>
  </si>
  <si>
    <t>Potential Multiverse Content Premium Annual Subscribers</t>
  </si>
  <si>
    <t>Unit Trends</t>
  </si>
  <si>
    <t xml:space="preserve">Average Number of Orders Per Multiverse Marketplace Acquired Customers </t>
  </si>
  <si>
    <t>Average Number of Orders Per Supermush by Multiverse Sales Acquired Customers</t>
  </si>
  <si>
    <t xml:space="preserve">Average Order Value Per Multiverse Marketplace Acquired Customers </t>
  </si>
  <si>
    <t>Average Order Value Per Supermush by Multiverse Sales Acquired Customers</t>
  </si>
  <si>
    <t>Average Customer Acquisition Cost Per Multiverse Customer</t>
  </si>
  <si>
    <t>Average Customer Acquisition Cost Per Supermush by Multiverse Customer</t>
  </si>
  <si>
    <t>Ramp Up CAC</t>
  </si>
  <si>
    <t>Customer Acquisition Cost Per Multiverse Customer</t>
  </si>
  <si>
    <t>Customer Acquisition Cost Per Supermush by Multiverse Customer</t>
  </si>
  <si>
    <t>Prime Laboratories LLC</t>
  </si>
  <si>
    <t>Supermush COG</t>
  </si>
  <si>
    <t>Item</t>
  </si>
  <si>
    <t>Size</t>
  </si>
  <si>
    <t>Ingredient Cost</t>
  </si>
  <si>
    <t>Production</t>
  </si>
  <si>
    <t>Bottle w/ Spray</t>
  </si>
  <si>
    <t>Labels</t>
  </si>
  <si>
    <t>Unit Cartons</t>
  </si>
  <si>
    <t>Cost Per Unit</t>
  </si>
  <si>
    <t>Quantity</t>
  </si>
  <si>
    <t>Total Cost/SKU</t>
  </si>
  <si>
    <t>3 SKUS</t>
  </si>
  <si>
    <t>USDA Organic Mushroom Tincture</t>
  </si>
  <si>
    <t>30ml</t>
  </si>
  <si>
    <t xml:space="preserve">Inventory </t>
  </si>
  <si>
    <t>Price Per Unit</t>
  </si>
  <si>
    <t>Units Required</t>
  </si>
  <si>
    <t>Total Cost</t>
  </si>
  <si>
    <t>3PL Storage Fee Annual</t>
  </si>
  <si>
    <t>3PL Pick &amp; Pack Fee Total</t>
  </si>
  <si>
    <t>3PL Storage Fee (Per Unit)</t>
  </si>
  <si>
    <t>3PL Pick &amp; Pack Fee (Per Unit)</t>
  </si>
  <si>
    <t>Jody Notes</t>
  </si>
  <si>
    <t>-cyber 10-12k</t>
  </si>
  <si>
    <t>- Liability 15-25k</t>
  </si>
  <si>
    <t>- Business interruption insurance</t>
  </si>
  <si>
    <t>- DNO</t>
  </si>
  <si>
    <t>50k annually</t>
  </si>
  <si>
    <t>Split PNLs</t>
  </si>
  <si>
    <t>Two diff tabs with performance marketing</t>
  </si>
  <si>
    <t>What levers are there to double down on</t>
  </si>
  <si>
    <t>make sure to extend from February to June</t>
  </si>
  <si>
    <t>Make a plan to start raising in March</t>
  </si>
  <si>
    <t>Revenue should be based off monthly CAC and not blended [ADDED]</t>
  </si>
  <si>
    <t>Adjust revenue for the first 3 months [ADDED]</t>
  </si>
  <si>
    <t>Business liability insurance (add in price to Legal) [ADDED]</t>
  </si>
  <si>
    <t>Trademark legal cost (add in price to Legal) [ADDED]</t>
  </si>
  <si>
    <t>Supplement legal cost (add in price to Legal) [ADDED]</t>
  </si>
  <si>
    <t>Cyber insurance (add in price to Legal) $10-12K [ADDED]</t>
  </si>
  <si>
    <t>Directors and operators insurance (add in price to Legal) $5-10K [ADDED]</t>
  </si>
  <si>
    <t>General liability insurance (add in price to Legal) $15-25K [ADDED]</t>
  </si>
  <si>
    <t>Recall and business interruption insurance (add in price to Legal) ? [ADDED]</t>
  </si>
  <si>
    <t>Add 3PL cost [ADDED]</t>
  </si>
  <si>
    <t>Breakout the Multiverse P&amp;L [ADDED]</t>
  </si>
  <si>
    <t>Update product COGs from Prime Labs [ADDED]</t>
  </si>
  <si>
    <t>Update 3PL COGs from ShipBob [ADDED]</t>
  </si>
  <si>
    <t>Create two different tabs with marketing (See what can be cut)</t>
  </si>
  <si>
    <t>Low and high based on hitting revenue numbers</t>
  </si>
  <si>
    <t>Need to raise money in March 2021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</si>
</sst>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2">
    <numFmt numFmtId="164" formatCode="&quot;$&quot;#,##0"/>
    <numFmt numFmtId="165" formatCode="_-* #,##0_-;\-* #,##0_-;_-* &quot;-&quot;??_-;_-@"/>
    <numFmt numFmtId="166" formatCode="&quot;$&quot;#,##0.00"/>
    <numFmt numFmtId="167" formatCode="&quot;$&quot;#,##0;\-&quot;$&quot;#,##0"/>
    <numFmt numFmtId="168" formatCode="_(* #,##0_);_(* \(#,##0\);_(* &quot;-&quot;??_);_(@_)"/>
    <numFmt numFmtId="169" formatCode="_(* #,##0.00_);_(* \(#,##0.00\);_(* &quot;-&quot;??_);_(@_)"/>
    <numFmt numFmtId="170" formatCode="&quot;$&quot;#,##0.000"/>
    <numFmt numFmtId="171" formatCode="_(&quot;$&quot;* #,##0_);_(&quot;$&quot;* \(#,##0\);_(&quot;$&quot;* &quot;-&quot;??_);_(@_)"/>
    <numFmt numFmtId="172" formatCode="_(&quot;$&quot;* #,##0.00_);_(&quot;$&quot;* \(#,##0.00\);_(&quot;$&quot;* &quot;-&quot;??_);_(@_)"/>
    <numFmt numFmtId="173" formatCode="&quot;$&quot;#,##0_);[Red]\(&quot;$&quot;#,##0\)"/>
    <numFmt numFmtId="174" formatCode="_(&quot;$&quot;* #,##0.00_);_(&quot;$&quot;* \(#,##0.00\);_(&quot;$&quot;* &quot;-&quot;??.00_);_(@_)"/>
    <numFmt numFmtId="175" formatCode="m/d/yy"/>
  </numFmts>
  <fonts count="13">
    <font>
      <sz val="12.0"/>
      <color theme="1"/>
      <name val="Arial"/>
    </font>
    <font>
      <b/>
      <sz val="12.0"/>
      <color theme="1"/>
      <name val="Avenir"/>
    </font>
    <font>
      <sz val="12.0"/>
      <color theme="1"/>
      <name val="Avenir"/>
    </font>
    <font/>
    <font>
      <color theme="1"/>
      <name val="Avenir"/>
    </font>
    <font>
      <b/>
      <sz val="12.0"/>
      <color theme="1"/>
      <name val="Arial"/>
    </font>
    <font>
      <b/>
      <color theme="1"/>
      <name val="Avenir"/>
    </font>
    <font>
      <color theme="1"/>
      <name val="Arial"/>
    </font>
    <font>
      <b/>
      <sz val="12.0"/>
      <color rgb="FF000000"/>
      <name val="Arial"/>
    </font>
    <font>
      <sz val="12.0"/>
      <color rgb="FF000000"/>
      <name val="Avenir"/>
    </font>
    <font>
      <sz val="12.0"/>
      <color rgb="FF000000"/>
      <name val="Arial"/>
    </font>
    <font>
      <sz val="12.0"/>
      <color rgb="FF222222"/>
      <name val="Avenir"/>
    </font>
    <font>
      <color rgb="FF000000"/>
      <name val="Avenir"/>
    </font>
  </fonts>
  <fills count="4">
    <fill>
      <patternFill patternType="none"/>
    </fill>
    <fill>
      <patternFill patternType="lightGray"/>
    </fill>
    <fill>
      <patternFill patternType="solid">
        <fgColor rgb="FFC5E0B3"/>
        <bgColor rgb="FFC5E0B3"/>
      </patternFill>
    </fill>
    <fill>
      <patternFill patternType="solid">
        <fgColor rgb="FFFFFFFF"/>
        <bgColor rgb="FFFFFFFF"/>
      </patternFill>
    </fill>
  </fills>
  <borders count="9">
    <border/>
    <border>
      <left/>
      <top/>
      <bottom style="thin">
        <color rgb="FF000000"/>
      </bottom>
    </border>
    <border>
      <top/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1" fillId="2" fontId="1" numFmtId="0" xfId="0" applyAlignment="1" applyBorder="1" applyFill="1" applyFont="1">
      <alignment horizontal="center"/>
    </xf>
    <xf borderId="2" fillId="0" fontId="3" numFmtId="0" xfId="0" applyBorder="1" applyFont="1"/>
    <xf borderId="3" fillId="0" fontId="1" numFmtId="0" xfId="0" applyAlignment="1" applyBorder="1" applyFont="1">
      <alignment horizontal="center"/>
    </xf>
    <xf borderId="0" fillId="0" fontId="1" numFmtId="0" xfId="0" applyAlignment="1" applyFont="1">
      <alignment horizontal="center"/>
    </xf>
    <xf borderId="0" fillId="0" fontId="2" numFmtId="10" xfId="0" applyFont="1" applyNumberFormat="1"/>
    <xf borderId="0" fillId="0" fontId="2" numFmtId="164" xfId="0" applyFont="1" applyNumberFormat="1"/>
    <xf borderId="0" fillId="0" fontId="1" numFmtId="0" xfId="0" applyAlignment="1" applyFont="1">
      <alignment shrinkToFit="0" wrapText="1"/>
    </xf>
    <xf borderId="0" fillId="0" fontId="2" numFmtId="0" xfId="0" applyAlignment="1" applyFont="1">
      <alignment shrinkToFit="0" wrapText="1"/>
    </xf>
    <xf borderId="4" fillId="0" fontId="1" numFmtId="164" xfId="0" applyBorder="1" applyFont="1" applyNumberFormat="1"/>
    <xf borderId="0" fillId="0" fontId="1" numFmtId="164" xfId="0" applyFont="1" applyNumberFormat="1"/>
    <xf borderId="0" fillId="0" fontId="0" numFmtId="0" xfId="0" applyAlignment="1" applyFont="1">
      <alignment readingOrder="0" shrinkToFit="0" wrapText="1"/>
    </xf>
    <xf borderId="0" fillId="0" fontId="2" numFmtId="9" xfId="0" applyFont="1" applyNumberFormat="1"/>
    <xf borderId="0" fillId="0" fontId="2" numFmtId="165" xfId="0" applyFont="1" applyNumberFormat="1"/>
    <xf borderId="0" fillId="0" fontId="1" numFmtId="10" xfId="0" applyFont="1" applyNumberFormat="1"/>
    <xf borderId="0" fillId="0" fontId="2" numFmtId="166" xfId="0" applyFont="1" applyNumberFormat="1"/>
    <xf borderId="0" fillId="3" fontId="2" numFmtId="0" xfId="0" applyFill="1" applyFont="1"/>
    <xf borderId="4" fillId="3" fontId="1" numFmtId="167" xfId="0" applyBorder="1" applyFont="1" applyNumberFormat="1"/>
    <xf borderId="0" fillId="3" fontId="1" numFmtId="167" xfId="0" applyFont="1" applyNumberFormat="1"/>
    <xf borderId="4" fillId="0" fontId="1" numFmtId="167" xfId="0" applyBorder="1" applyFont="1" applyNumberFormat="1"/>
    <xf borderId="0" fillId="0" fontId="1" numFmtId="167" xfId="0" applyFont="1" applyNumberFormat="1"/>
    <xf borderId="0" fillId="0" fontId="2" numFmtId="3" xfId="0" applyFont="1" applyNumberFormat="1"/>
    <xf borderId="0" fillId="0" fontId="1" numFmtId="166" xfId="0" applyFont="1" applyNumberFormat="1"/>
    <xf borderId="0" fillId="0" fontId="2" numFmtId="168" xfId="0" applyFont="1" applyNumberFormat="1"/>
    <xf borderId="0" fillId="0" fontId="4" numFmtId="0" xfId="0" applyFont="1"/>
    <xf borderId="0" fillId="0" fontId="2" numFmtId="169" xfId="0" applyFont="1" applyNumberFormat="1"/>
    <xf borderId="0" fillId="0" fontId="2" numFmtId="164" xfId="0" applyAlignment="1" applyFont="1" applyNumberFormat="1">
      <alignment horizontal="right" vertical="bottom"/>
    </xf>
    <xf borderId="0" fillId="0" fontId="2" numFmtId="2" xfId="0" applyFont="1" applyNumberFormat="1"/>
    <xf borderId="0" fillId="0" fontId="2" numFmtId="164" xfId="0" applyAlignment="1" applyFont="1" applyNumberFormat="1">
      <alignment horizontal="right"/>
    </xf>
    <xf borderId="0" fillId="0" fontId="2" numFmtId="4" xfId="0" applyFont="1" applyNumberFormat="1"/>
    <xf borderId="0" fillId="0" fontId="1" numFmtId="17" xfId="0" applyFont="1" applyNumberFormat="1"/>
    <xf borderId="0" fillId="0" fontId="0" numFmtId="164" xfId="0" applyFont="1" applyNumberFormat="1"/>
    <xf borderId="0" fillId="3" fontId="2" numFmtId="164" xfId="0" applyFont="1" applyNumberFormat="1"/>
    <xf borderId="0" fillId="3" fontId="2" numFmtId="166" xfId="0" applyFont="1" applyNumberFormat="1"/>
    <xf borderId="0" fillId="0" fontId="5" numFmtId="0" xfId="0" applyAlignment="1" applyFont="1">
      <alignment shrinkToFit="0" wrapText="1"/>
    </xf>
    <xf borderId="0" fillId="0" fontId="0" numFmtId="0" xfId="0" applyAlignment="1" applyFont="1">
      <alignment shrinkToFit="0" wrapText="1"/>
    </xf>
    <xf borderId="0" fillId="0" fontId="0" numFmtId="164" xfId="0" applyAlignment="1" applyFont="1" applyNumberFormat="1">
      <alignment readingOrder="0"/>
    </xf>
    <xf borderId="0" fillId="0" fontId="2" numFmtId="170" xfId="0" applyFont="1" applyNumberFormat="1"/>
    <xf borderId="0" fillId="0" fontId="6" numFmtId="0" xfId="0" applyAlignment="1" applyFont="1">
      <alignment shrinkToFit="0" wrapText="1"/>
    </xf>
    <xf borderId="0" fillId="0" fontId="6" numFmtId="0" xfId="0" applyFont="1"/>
    <xf borderId="0" fillId="0" fontId="7" numFmtId="0" xfId="0" applyFont="1"/>
    <xf borderId="0" fillId="0" fontId="7" numFmtId="164" xfId="0" applyAlignment="1" applyFont="1" applyNumberFormat="1">
      <alignment readingOrder="0"/>
    </xf>
    <xf borderId="0" fillId="0" fontId="4" numFmtId="164" xfId="0" applyFont="1" applyNumberFormat="1"/>
    <xf borderId="0" fillId="0" fontId="4" numFmtId="166" xfId="0" applyFont="1" applyNumberFormat="1"/>
    <xf borderId="0" fillId="0" fontId="2" numFmtId="171" xfId="0" applyFont="1" applyNumberFormat="1"/>
    <xf borderId="0" fillId="0" fontId="2" numFmtId="172" xfId="0" applyFont="1" applyNumberFormat="1"/>
    <xf borderId="0" fillId="0" fontId="1" numFmtId="172" xfId="0" applyFont="1" applyNumberFormat="1"/>
    <xf borderId="0" fillId="0" fontId="4" numFmtId="0" xfId="0" applyAlignment="1" applyFont="1">
      <alignment shrinkToFit="0" wrapText="1"/>
    </xf>
    <xf borderId="0" fillId="0" fontId="2" numFmtId="173" xfId="0" applyFont="1" applyNumberFormat="1"/>
    <xf borderId="0" fillId="0" fontId="2" numFmtId="174" xfId="0" applyFont="1" applyNumberFormat="1"/>
    <xf borderId="0" fillId="0" fontId="2" numFmtId="1" xfId="0" applyFont="1" applyNumberFormat="1"/>
    <xf borderId="0" fillId="0" fontId="1" numFmtId="171" xfId="0" applyFont="1" applyNumberFormat="1"/>
    <xf borderId="0" fillId="0" fontId="0" numFmtId="171" xfId="0" applyFont="1" applyNumberFormat="1"/>
    <xf borderId="0" fillId="0" fontId="0" numFmtId="1" xfId="0" applyFont="1" applyNumberFormat="1"/>
    <xf borderId="0" fillId="0" fontId="0" numFmtId="171" xfId="0" applyAlignment="1" applyFont="1" applyNumberFormat="1">
      <alignment readingOrder="0"/>
    </xf>
    <xf borderId="0" fillId="0" fontId="0" numFmtId="166" xfId="0" applyAlignment="1" applyFont="1" applyNumberFormat="1">
      <alignment readingOrder="0"/>
    </xf>
    <xf borderId="0" fillId="0" fontId="8" numFmtId="0" xfId="0" applyAlignment="1" applyFont="1">
      <alignment readingOrder="0" shrinkToFit="0" vertical="bottom" wrapText="0"/>
    </xf>
    <xf borderId="0" fillId="0" fontId="9" numFmtId="0" xfId="0" applyAlignment="1" applyFont="1">
      <alignment shrinkToFit="0" vertical="bottom" wrapText="0"/>
    </xf>
    <xf borderId="0" fillId="0" fontId="10" numFmtId="175" xfId="0" applyAlignment="1" applyFont="1" applyNumberFormat="1">
      <alignment horizontal="left" readingOrder="0" shrinkToFit="0" vertical="bottom" wrapText="0"/>
    </xf>
    <xf borderId="5" fillId="0" fontId="9" numFmtId="0" xfId="0" applyAlignment="1" applyBorder="1" applyFont="1">
      <alignment horizontal="center" shrinkToFit="0" vertical="bottom" wrapText="0"/>
    </xf>
    <xf borderId="6" fillId="0" fontId="9" numFmtId="0" xfId="0" applyAlignment="1" applyBorder="1" applyFont="1">
      <alignment horizontal="center" shrinkToFit="0" vertical="bottom" wrapText="0"/>
    </xf>
    <xf borderId="7" fillId="0" fontId="11" numFmtId="0" xfId="0" applyAlignment="1" applyBorder="1" applyFont="1">
      <alignment shrinkToFit="0" vertical="bottom" wrapText="0"/>
    </xf>
    <xf borderId="8" fillId="0" fontId="9" numFmtId="0" xfId="0" applyAlignment="1" applyBorder="1" applyFont="1">
      <alignment horizontal="center" shrinkToFit="0" vertical="bottom" wrapText="0"/>
    </xf>
    <xf borderId="8" fillId="0" fontId="10" numFmtId="166" xfId="0" applyAlignment="1" applyBorder="1" applyFont="1" applyNumberFormat="1">
      <alignment horizontal="center" readingOrder="0" shrinkToFit="0" vertical="bottom" wrapText="0"/>
    </xf>
    <xf borderId="8" fillId="0" fontId="9" numFmtId="166" xfId="0" applyAlignment="1" applyBorder="1" applyFont="1" applyNumberFormat="1">
      <alignment horizontal="center" shrinkToFit="0" vertical="bottom" wrapText="0"/>
    </xf>
    <xf borderId="8" fillId="0" fontId="10" numFmtId="3" xfId="0" applyAlignment="1" applyBorder="1" applyFont="1" applyNumberFormat="1">
      <alignment horizontal="center" readingOrder="0" shrinkToFit="0" vertical="bottom" wrapText="0"/>
    </xf>
    <xf borderId="8" fillId="0" fontId="10" numFmtId="0" xfId="0" applyAlignment="1" applyBorder="1" applyFont="1">
      <alignment horizontal="center" readingOrder="0" shrinkToFit="0" vertical="bottom" wrapText="0"/>
    </xf>
    <xf borderId="8" fillId="0" fontId="9" numFmtId="3" xfId="0" applyAlignment="1" applyBorder="1" applyFont="1" applyNumberFormat="1">
      <alignment horizontal="center" shrinkToFit="0" vertical="bottom" wrapText="0"/>
    </xf>
    <xf borderId="0" fillId="0" fontId="12" numFmtId="0" xfId="0" applyAlignment="1" applyFont="1">
      <alignment shrinkToFit="0" vertical="bottom" wrapText="0"/>
    </xf>
    <xf borderId="0" fillId="3" fontId="9" numFmtId="0" xfId="0" applyAlignment="1" applyFont="1">
      <alignment shrinkToFit="0" vertical="bottom" wrapText="0"/>
    </xf>
    <xf borderId="0" fillId="0" fontId="4" numFmtId="3" xfId="0" applyFont="1" applyNumberFormat="1"/>
    <xf borderId="0" fillId="0" fontId="7" numFmtId="166" xfId="0" applyAlignment="1" applyFont="1" applyNumberFormat="1">
      <alignment readingOrder="0"/>
    </xf>
    <xf borderId="0" fillId="0" fontId="7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customschemas.google.com/relationships/workbookmetadata" Target="metadata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6.78"/>
    <col customWidth="1" min="2" max="2" width="30.44"/>
    <col customWidth="1" min="3" max="3" width="42.56"/>
    <col customWidth="1" min="4" max="4" width="27.22"/>
    <col customWidth="1" min="5" max="5" width="8.89"/>
    <col customWidth="1" min="6" max="6" width="4.56"/>
    <col customWidth="1" min="7" max="7" width="10.33"/>
    <col customWidth="1" min="8" max="8" width="4.56"/>
    <col customWidth="1" min="9" max="9" width="10.33"/>
    <col customWidth="1" min="10" max="10" width="10.67"/>
    <col customWidth="1" min="11" max="11" width="46.67"/>
    <col customWidth="1" min="12" max="12" width="10.67"/>
    <col customWidth="1" min="13" max="26" width="10.56"/>
  </cols>
  <sheetData>
    <row r="1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6.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6.5" customHeight="1">
      <c r="A4" s="2"/>
      <c r="B4" s="2"/>
      <c r="C4" s="2"/>
      <c r="D4" s="2"/>
      <c r="E4" s="3" t="s">
        <v>2</v>
      </c>
      <c r="F4" s="4"/>
      <c r="G4" s="4"/>
      <c r="H4" s="4"/>
      <c r="I4" s="4"/>
      <c r="J4" s="2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6.5" customHeight="1">
      <c r="A5" s="2"/>
      <c r="B5" s="2"/>
      <c r="C5" s="2"/>
      <c r="D5" s="2"/>
      <c r="E5" s="5">
        <v>2021.0</v>
      </c>
      <c r="F5" s="6"/>
      <c r="G5" s="5">
        <f>E5+1</f>
        <v>2022</v>
      </c>
      <c r="H5" s="6"/>
      <c r="I5" s="5">
        <f>G5+1</f>
        <v>2023</v>
      </c>
      <c r="J5" s="2"/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6.5" customHeight="1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6.5" customHeight="1">
      <c r="A7" s="2"/>
      <c r="B7" s="1" t="s">
        <v>4</v>
      </c>
      <c r="C7" s="2" t="s">
        <v>5</v>
      </c>
      <c r="D7" s="7">
        <f t="shared" ref="D7:D8" si="1">I7/$I$12</f>
        <v>0.08009274594</v>
      </c>
      <c r="E7" s="8">
        <f>'3 Year Annual Projection'!D7</f>
        <v>26668.96919</v>
      </c>
      <c r="F7" s="8"/>
      <c r="G7" s="8">
        <f>'3 Year Annual Projection'!E7</f>
        <v>108361.4583</v>
      </c>
      <c r="H7" s="8"/>
      <c r="I7" s="8">
        <f>'3 Year Annual Projection'!F7</f>
        <v>188066.6667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6.5" customHeight="1">
      <c r="A8" s="2"/>
      <c r="B8" s="1" t="s">
        <v>6</v>
      </c>
      <c r="C8" s="2" t="s">
        <v>7</v>
      </c>
      <c r="D8" s="7">
        <f t="shared" si="1"/>
        <v>0.8543226234</v>
      </c>
      <c r="E8" s="8">
        <f>'3 Year Annual Projection'!D8</f>
        <v>191286.8433</v>
      </c>
      <c r="F8" s="8"/>
      <c r="G8" s="8">
        <f>'3 Year Annual Projection'!E8</f>
        <v>1155855.556</v>
      </c>
      <c r="H8" s="8"/>
      <c r="I8" s="8">
        <f>'3 Year Annual Projection'!F8</f>
        <v>2006044.444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7.75" customHeight="1">
      <c r="A9" s="2"/>
      <c r="B9" s="9" t="s">
        <v>8</v>
      </c>
      <c r="C9" s="10" t="s">
        <v>9</v>
      </c>
      <c r="D9" s="7">
        <f>E9/E12</f>
        <v>0.1380824684</v>
      </c>
      <c r="E9" s="8">
        <f>'3 Year Annual Projection'!D9</f>
        <v>37000</v>
      </c>
      <c r="F9" s="8"/>
      <c r="G9" s="8">
        <f>'3 Year Annual Projection'!E9</f>
        <v>50000</v>
      </c>
      <c r="H9" s="8"/>
      <c r="I9" s="8">
        <f>'3 Year Annual Projection'!F9</f>
        <v>58000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46.5" customHeight="1">
      <c r="A10" s="2"/>
      <c r="B10" s="9" t="s">
        <v>10</v>
      </c>
      <c r="C10" s="10" t="s">
        <v>11</v>
      </c>
      <c r="D10" s="7">
        <f>E10/E12</f>
        <v>0.03731958605</v>
      </c>
      <c r="E10" s="8">
        <f>'3 Year Annual Projection'!D10</f>
        <v>10000</v>
      </c>
      <c r="F10" s="8"/>
      <c r="G10" s="8">
        <f>'3 Year Annual Projection'!E10</f>
        <v>44000</v>
      </c>
      <c r="H10" s="8"/>
      <c r="I10" s="8">
        <f>'3 Year Annual Projection'!F10</f>
        <v>72000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6.5" customHeight="1">
      <c r="A11" s="2"/>
      <c r="B11" s="1" t="s">
        <v>12</v>
      </c>
      <c r="C11" s="2" t="s">
        <v>13</v>
      </c>
      <c r="D11" s="7">
        <f>I11/$I$12</f>
        <v>0.0102209814</v>
      </c>
      <c r="E11" s="8">
        <f>'3 Year Annual Projection'!D11</f>
        <v>3000</v>
      </c>
      <c r="F11" s="8"/>
      <c r="G11" s="8">
        <f>'3 Year Annual Projection'!E11</f>
        <v>12000</v>
      </c>
      <c r="H11" s="8"/>
      <c r="I11" s="8">
        <f>'3 Year Annual Projection'!F11</f>
        <v>24000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6.5" customHeight="1">
      <c r="A12" s="2"/>
      <c r="B12" s="2"/>
      <c r="C12" s="1" t="s">
        <v>14</v>
      </c>
      <c r="D12" s="2"/>
      <c r="E12" s="11">
        <f>SUM(E7:E11)</f>
        <v>267955.8124</v>
      </c>
      <c r="F12" s="12"/>
      <c r="G12" s="11">
        <f>SUM(G7:G11)</f>
        <v>1370217.014</v>
      </c>
      <c r="H12" s="12"/>
      <c r="I12" s="11">
        <f>SUM(I7:I11)</f>
        <v>2348111.111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6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6.5" customHeight="1">
      <c r="A14" s="1" t="s">
        <v>15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6.5" customHeight="1">
      <c r="A15" s="1"/>
      <c r="B15" s="1" t="s">
        <v>16</v>
      </c>
      <c r="C15" s="2" t="s">
        <v>17</v>
      </c>
      <c r="D15" s="2"/>
      <c r="E15" s="8">
        <f>'3 Year Annual Projection'!D15</f>
        <v>10500</v>
      </c>
      <c r="F15" s="8"/>
      <c r="G15" s="8">
        <f>'3 Year Annual Projection'!E15</f>
        <v>0</v>
      </c>
      <c r="H15" s="8"/>
      <c r="I15" s="8">
        <f>'3 Year Annual Projection'!F15</f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6.5" customHeight="1">
      <c r="A16" s="2"/>
      <c r="C16" s="2" t="s">
        <v>18</v>
      </c>
      <c r="D16" s="2"/>
      <c r="E16" s="8">
        <f>'3 Year Annual Projection'!D16</f>
        <v>27250</v>
      </c>
      <c r="F16" s="8"/>
      <c r="G16" s="8">
        <f>'3 Year Annual Projection'!E16</f>
        <v>0</v>
      </c>
      <c r="H16" s="8"/>
      <c r="I16" s="8">
        <f>'3 Year Annual Projection'!F16</f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6.5" customHeight="1">
      <c r="A17" s="2"/>
      <c r="C17" s="10" t="s">
        <v>19</v>
      </c>
      <c r="D17" s="2"/>
      <c r="E17" s="8">
        <f>'3 Year Annual Projection'!D17</f>
        <v>24000</v>
      </c>
      <c r="F17" s="8"/>
      <c r="G17" s="8">
        <f>'3 Year Annual Projection'!E17</f>
        <v>18000</v>
      </c>
      <c r="H17" s="8"/>
      <c r="I17" s="8">
        <f>'3 Year Annual Projection'!F17</f>
        <v>21000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6.5" customHeight="1">
      <c r="A18" s="2"/>
      <c r="C18" s="13" t="s">
        <v>20</v>
      </c>
      <c r="D18" s="2"/>
      <c r="E18" s="8">
        <f>'3 Year Annual Projection'!D18</f>
        <v>86925</v>
      </c>
      <c r="F18" s="8"/>
      <c r="G18" s="8">
        <f>'3 Year Annual Projection'!E18</f>
        <v>662001.8346</v>
      </c>
      <c r="H18" s="8"/>
      <c r="I18" s="8">
        <f>'3 Year Annual Projection'!F18</f>
        <v>124587.6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6.5" customHeight="1">
      <c r="A19" s="2"/>
      <c r="C19" s="10" t="s">
        <v>21</v>
      </c>
      <c r="D19" s="2"/>
      <c r="E19" s="8">
        <f>'3 Year Annual Projection'!D19</f>
        <v>3230</v>
      </c>
      <c r="F19" s="8"/>
      <c r="G19" s="8">
        <f>'3 Year Annual Projection'!E19</f>
        <v>4440</v>
      </c>
      <c r="H19" s="8"/>
      <c r="I19" s="8">
        <f>'3 Year Annual Projection'!F19</f>
        <v>4440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6.5" customHeight="1">
      <c r="A20" s="2"/>
      <c r="C20" s="2" t="s">
        <v>22</v>
      </c>
      <c r="D20" s="2"/>
      <c r="E20" s="8">
        <f>'3 Year Annual Projection'!D20</f>
        <v>54</v>
      </c>
      <c r="F20" s="8"/>
      <c r="G20" s="8">
        <f>'3 Year Annual Projection'!E20</f>
        <v>188.4856318</v>
      </c>
      <c r="H20" s="8"/>
      <c r="I20" s="8">
        <f>'3 Year Annual Projection'!F20</f>
        <v>361.088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6.5" customHeight="1">
      <c r="A21" s="2"/>
      <c r="B21" s="2"/>
      <c r="D21" s="1" t="s">
        <v>23</v>
      </c>
      <c r="E21" s="11">
        <f>SUM(E15:E20)</f>
        <v>151959</v>
      </c>
      <c r="F21" s="12"/>
      <c r="G21" s="11">
        <f>SUM(G15:G20)</f>
        <v>684630.3202</v>
      </c>
      <c r="H21" s="12"/>
      <c r="I21" s="11">
        <f>SUM(I15:I20)</f>
        <v>150388.688</v>
      </c>
      <c r="J21" s="2"/>
      <c r="K21" s="2"/>
      <c r="L21" s="1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6.5" customHeight="1">
      <c r="A22" s="2"/>
      <c r="B22" s="2"/>
      <c r="C22" s="1"/>
      <c r="D22" s="2"/>
      <c r="E22" s="15"/>
      <c r="F22" s="15"/>
      <c r="G22" s="15"/>
      <c r="H22" s="15"/>
      <c r="I22" s="15"/>
      <c r="J22" s="2"/>
      <c r="K22" s="2"/>
      <c r="L22" s="1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6.5" customHeight="1">
      <c r="A23" s="1" t="s">
        <v>24</v>
      </c>
      <c r="B23" s="2"/>
      <c r="C23" s="2"/>
      <c r="D23" s="2"/>
      <c r="E23" s="11">
        <f>E12-E21</f>
        <v>115996.8124</v>
      </c>
      <c r="F23" s="12"/>
      <c r="G23" s="11">
        <f>G12-G21</f>
        <v>685586.6937</v>
      </c>
      <c r="H23" s="12"/>
      <c r="I23" s="11">
        <f>I12-I21</f>
        <v>2197722.423</v>
      </c>
      <c r="J23" s="2"/>
      <c r="K23" s="2"/>
      <c r="L23" s="8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6.5" customHeight="1">
      <c r="A24" s="2" t="s">
        <v>25</v>
      </c>
      <c r="B24" s="2"/>
      <c r="C24" s="2"/>
      <c r="D24" s="2"/>
      <c r="E24" s="16">
        <f>(E12-E21)/E12</f>
        <v>0.4328953023</v>
      </c>
      <c r="F24" s="16"/>
      <c r="G24" s="16">
        <f>(G12-G21)/G12</f>
        <v>0.5003489861</v>
      </c>
      <c r="H24" s="16"/>
      <c r="I24" s="16">
        <f>(I12-I21)/I12</f>
        <v>0.935953334</v>
      </c>
      <c r="J24" s="2"/>
      <c r="K24" s="2"/>
      <c r="L24" s="8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6.5" customHeight="1">
      <c r="A25" s="1" t="s">
        <v>26</v>
      </c>
      <c r="B25" s="2"/>
      <c r="C25" s="2"/>
      <c r="D25" s="2"/>
      <c r="E25" s="1"/>
      <c r="F25" s="1"/>
      <c r="G25" s="1"/>
      <c r="H25" s="1"/>
      <c r="I25" s="1"/>
      <c r="J25" s="2"/>
      <c r="K25" s="2"/>
      <c r="L25" s="8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6.5" customHeight="1">
      <c r="A26" s="2"/>
      <c r="B26" s="1" t="s">
        <v>27</v>
      </c>
      <c r="C26" s="2"/>
      <c r="D26" s="2"/>
      <c r="E26" s="2"/>
      <c r="F26" s="2"/>
      <c r="G26" s="2"/>
      <c r="H26" s="2"/>
      <c r="I26" s="2"/>
      <c r="J26" s="2"/>
      <c r="K26" s="2"/>
      <c r="L26" s="8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6.5" customHeight="1">
      <c r="A27" s="2"/>
      <c r="B27" s="2"/>
      <c r="C27" s="2" t="s">
        <v>28</v>
      </c>
      <c r="D27" s="2"/>
      <c r="E27" s="8">
        <f>'3 Year Annual Projection'!D27</f>
        <v>0</v>
      </c>
      <c r="F27" s="8"/>
      <c r="G27" s="8">
        <f>'3 Year Annual Projection'!E27</f>
        <v>55000</v>
      </c>
      <c r="H27" s="8"/>
      <c r="I27" s="8">
        <f>'3 Year Annual Projection'!F27</f>
        <v>220000</v>
      </c>
      <c r="J27" s="2"/>
      <c r="K27" s="2"/>
      <c r="L27" s="8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6.5" customHeight="1">
      <c r="A28" s="2"/>
      <c r="B28" s="2"/>
      <c r="C28" s="2" t="s">
        <v>29</v>
      </c>
      <c r="D28" s="2"/>
      <c r="E28" s="8">
        <f>'3 Year Annual Projection'!D28</f>
        <v>1000</v>
      </c>
      <c r="F28" s="8"/>
      <c r="G28" s="8">
        <f>'3 Year Annual Projection'!E28</f>
        <v>1500</v>
      </c>
      <c r="H28" s="8"/>
      <c r="I28" s="8">
        <f>'3 Year Annual Projection'!F28</f>
        <v>2000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6.5" customHeight="1">
      <c r="A29" s="2"/>
      <c r="B29" s="2"/>
      <c r="C29" s="2"/>
      <c r="D29" s="1" t="s">
        <v>30</v>
      </c>
      <c r="E29" s="11">
        <f>SUM(E27:E28)</f>
        <v>1000</v>
      </c>
      <c r="F29" s="12"/>
      <c r="G29" s="11">
        <f>SUM(G27:G28)</f>
        <v>56500</v>
      </c>
      <c r="H29" s="12"/>
      <c r="I29" s="11">
        <f>SUM(I27:I28)</f>
        <v>222000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6.5" customHeight="1">
      <c r="A30" s="2"/>
      <c r="B30" s="2"/>
      <c r="C30" s="2"/>
      <c r="D30" s="2"/>
      <c r="E30" s="17"/>
      <c r="F30" s="17"/>
      <c r="G30" s="17"/>
      <c r="H30" s="17"/>
      <c r="I30" s="17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6.5" customHeight="1">
      <c r="A31" s="2"/>
      <c r="B31" s="1" t="s">
        <v>31</v>
      </c>
      <c r="C31" s="2"/>
      <c r="D31" s="2"/>
      <c r="E31" s="17"/>
      <c r="F31" s="17"/>
      <c r="G31" s="17"/>
      <c r="H31" s="17"/>
      <c r="I31" s="17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6.5" customHeight="1">
      <c r="A32" s="2"/>
      <c r="B32" s="1"/>
      <c r="C32" s="2" t="s">
        <v>28</v>
      </c>
      <c r="D32" s="2"/>
      <c r="E32" s="8">
        <f>'3 Year Annual Projection'!D31</f>
        <v>11666.66667</v>
      </c>
      <c r="F32" s="8"/>
      <c r="G32" s="8">
        <f>'3 Year Annual Projection'!E31</f>
        <v>185000</v>
      </c>
      <c r="H32" s="8"/>
      <c r="I32" s="8">
        <f>'3 Year Annual Projection'!F31</f>
        <v>230000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6.5" customHeight="1">
      <c r="A33" s="2"/>
      <c r="B33" s="1" t="s">
        <v>32</v>
      </c>
      <c r="C33" s="2"/>
      <c r="D33" s="2"/>
      <c r="E33" s="15"/>
      <c r="F33" s="15"/>
      <c r="G33" s="15"/>
      <c r="H33" s="15"/>
      <c r="I33" s="15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6.5" customHeight="1">
      <c r="A34" s="2"/>
      <c r="B34" s="1"/>
      <c r="C34" s="2" t="s">
        <v>28</v>
      </c>
      <c r="D34" s="2"/>
      <c r="E34" s="8">
        <f>'3 Year Annual Projection'!D34</f>
        <v>10500</v>
      </c>
      <c r="F34" s="8"/>
      <c r="G34" s="8">
        <f>'3 Year Annual Projection'!E34</f>
        <v>68000</v>
      </c>
      <c r="H34" s="8"/>
      <c r="I34" s="8">
        <f>'3 Year Annual Projection'!F34</f>
        <v>168000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6.5" customHeight="1">
      <c r="A35" s="2"/>
      <c r="B35" s="1"/>
      <c r="C35" s="2" t="s">
        <v>33</v>
      </c>
      <c r="D35" s="2"/>
      <c r="E35" s="8">
        <f>'3 Year Annual Projection'!D35</f>
        <v>277333.3333</v>
      </c>
      <c r="F35" s="8"/>
      <c r="G35" s="8">
        <f>'3 Year Annual Projection'!E35</f>
        <v>998666.6667</v>
      </c>
      <c r="H35" s="8"/>
      <c r="I35" s="8">
        <f>'3 Year Annual Projection'!F35</f>
        <v>1565333.333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6.5" customHeight="1">
      <c r="A36" s="2"/>
      <c r="B36" s="1"/>
      <c r="C36" s="2"/>
      <c r="D36" s="1" t="s">
        <v>34</v>
      </c>
      <c r="E36" s="11">
        <f>SUM(E32:E35)</f>
        <v>299500</v>
      </c>
      <c r="F36" s="12"/>
      <c r="G36" s="11">
        <f>SUM(G32:G35)</f>
        <v>1251666.667</v>
      </c>
      <c r="H36" s="12"/>
      <c r="I36" s="11">
        <f>SUM(I32:I35)</f>
        <v>1963333.333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6.5" customHeight="1">
      <c r="A37" s="2"/>
      <c r="B37" s="1"/>
      <c r="C37" s="2"/>
      <c r="D37" s="2"/>
      <c r="E37" s="17"/>
      <c r="F37" s="17"/>
      <c r="G37" s="17"/>
      <c r="H37" s="17"/>
      <c r="I37" s="17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32.25" customHeight="1">
      <c r="A38" s="2"/>
      <c r="B38" s="9" t="s">
        <v>35</v>
      </c>
      <c r="C38" s="2"/>
      <c r="D38" s="2"/>
      <c r="E38" s="17"/>
      <c r="F38" s="17"/>
      <c r="G38" s="17"/>
      <c r="H38" s="17"/>
      <c r="I38" s="17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8.5" customHeight="1">
      <c r="A39" s="2"/>
      <c r="B39" s="2"/>
      <c r="C39" s="9" t="s">
        <v>36</v>
      </c>
      <c r="D39" s="2"/>
      <c r="E39" s="8">
        <f>'3 Year Annual Projection'!D38</f>
        <v>25000</v>
      </c>
      <c r="F39" s="8"/>
      <c r="G39" s="8">
        <f>'3 Year Annual Projection'!E38</f>
        <v>100000</v>
      </c>
      <c r="H39" s="8"/>
      <c r="I39" s="8">
        <f>'3 Year Annual Projection'!F38</f>
        <v>150000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6.5" customHeight="1">
      <c r="A40" s="2"/>
      <c r="B40" s="2"/>
      <c r="C40" s="1"/>
      <c r="D40" s="2" t="s">
        <v>28</v>
      </c>
      <c r="E40" s="11">
        <f>SUM(E39)</f>
        <v>25000</v>
      </c>
      <c r="F40" s="12"/>
      <c r="G40" s="11">
        <f>SUM(G39)</f>
        <v>100000</v>
      </c>
      <c r="H40" s="12"/>
      <c r="I40" s="11">
        <f>SUM(I39)</f>
        <v>150000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6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6.5" customHeight="1">
      <c r="A42" s="2"/>
      <c r="B42" s="1" t="s">
        <v>37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6.5" customHeight="1">
      <c r="A43" s="1"/>
      <c r="B43" s="2"/>
      <c r="C43" s="2" t="s">
        <v>38</v>
      </c>
      <c r="D43" s="2"/>
      <c r="E43" s="8">
        <f>'3 Year Annual Projection'!D41</f>
        <v>120000</v>
      </c>
      <c r="F43" s="8"/>
      <c r="G43" s="8">
        <f>'3 Year Annual Projection'!E41</f>
        <v>180000</v>
      </c>
      <c r="H43" s="8"/>
      <c r="I43" s="8">
        <f>'3 Year Annual Projection'!F41</f>
        <v>180000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6.5" customHeight="1">
      <c r="A44" s="1"/>
      <c r="B44" s="2"/>
      <c r="C44" s="2" t="s">
        <v>39</v>
      </c>
      <c r="D44" s="2"/>
      <c r="E44" s="8">
        <f>'3 Year Annual Projection'!D44</f>
        <v>45000</v>
      </c>
      <c r="F44" s="8"/>
      <c r="G44" s="8">
        <f>'3 Year Annual Projection'!E44</f>
        <v>50000</v>
      </c>
      <c r="H44" s="8"/>
      <c r="I44" s="8">
        <f>'3 Year Annual Projection'!F44</f>
        <v>50000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6.5" customHeight="1">
      <c r="A45" s="1"/>
      <c r="B45" s="2"/>
      <c r="C45" s="2" t="s">
        <v>40</v>
      </c>
      <c r="D45" s="2"/>
      <c r="E45" s="8">
        <f>'3 Year Annual Projection'!D45</f>
        <v>1560</v>
      </c>
      <c r="F45" s="8"/>
      <c r="G45" s="8">
        <f>'3 Year Annual Projection'!E45</f>
        <v>6000</v>
      </c>
      <c r="H45" s="8"/>
      <c r="I45" s="8">
        <f>'3 Year Annual Projection'!F45</f>
        <v>6000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6.5" customHeight="1">
      <c r="A46" s="1"/>
      <c r="B46" s="2"/>
      <c r="C46" s="2" t="s">
        <v>41</v>
      </c>
      <c r="D46" s="2"/>
      <c r="E46" s="8">
        <f>'3 Year Annual Projection'!D50</f>
        <v>6600</v>
      </c>
      <c r="F46" s="8"/>
      <c r="G46" s="8">
        <f>'3 Year Annual Projection'!E50</f>
        <v>31200</v>
      </c>
      <c r="H46" s="8"/>
      <c r="I46" s="8">
        <f>'3 Year Annual Projection'!F50</f>
        <v>31200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6.5" customHeight="1">
      <c r="A47" s="1"/>
      <c r="B47" s="2"/>
      <c r="C47" s="2" t="s">
        <v>42</v>
      </c>
      <c r="D47" s="2"/>
      <c r="E47" s="8">
        <f>'3 Year Annual Projection'!D55</f>
        <v>466.6666667</v>
      </c>
      <c r="F47" s="8"/>
      <c r="G47" s="8">
        <f>'3 Year Annual Projection'!E55</f>
        <v>2000</v>
      </c>
      <c r="H47" s="8"/>
      <c r="I47" s="8">
        <f>'3 Year Annual Projection'!F55</f>
        <v>3200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6.5" customHeight="1">
      <c r="A48" s="1"/>
      <c r="B48" s="2"/>
      <c r="C48" s="2" t="s">
        <v>43</v>
      </c>
      <c r="D48" s="2"/>
      <c r="E48" s="8">
        <f>'3 Year Annual Projection'!D56</f>
        <v>39.2</v>
      </c>
      <c r="F48" s="8"/>
      <c r="G48" s="8">
        <f>'3 Year Annual Projection'!E56</f>
        <v>168</v>
      </c>
      <c r="H48" s="8"/>
      <c r="I48" s="8">
        <f>'3 Year Annual Projection'!F56</f>
        <v>268.8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6.5" customHeight="1">
      <c r="A49" s="1"/>
      <c r="B49" s="2"/>
      <c r="C49" s="2" t="s">
        <v>44</v>
      </c>
      <c r="D49" s="2"/>
      <c r="E49" s="8">
        <f>'3 Year Annual Projection'!D57</f>
        <v>20.16</v>
      </c>
      <c r="F49" s="8"/>
      <c r="G49" s="8">
        <f>'3 Year Annual Projection'!E57</f>
        <v>86.4</v>
      </c>
      <c r="H49" s="8"/>
      <c r="I49" s="8">
        <f>'3 Year Annual Projection'!F57</f>
        <v>138.24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6.5" customHeight="1">
      <c r="A50" s="1"/>
      <c r="B50" s="2"/>
      <c r="C50" s="2" t="s">
        <v>45</v>
      </c>
      <c r="D50" s="2"/>
      <c r="E50" s="8">
        <f>'3 Year Annual Projection'!D47</f>
        <v>24000</v>
      </c>
      <c r="F50" s="8"/>
      <c r="G50" s="8">
        <f>'3 Year Annual Projection'!E47</f>
        <v>36000</v>
      </c>
      <c r="H50" s="8"/>
      <c r="I50" s="8">
        <f>'3 Year Annual Projection'!F47</f>
        <v>36000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6.5" customHeight="1">
      <c r="A51" s="1"/>
      <c r="B51" s="2"/>
      <c r="C51" s="2"/>
      <c r="D51" s="1" t="s">
        <v>46</v>
      </c>
      <c r="E51" s="11">
        <f>SUM(E43:E50)</f>
        <v>197686.0267</v>
      </c>
      <c r="F51" s="12"/>
      <c r="G51" s="11">
        <f>SUM(G43:G50)</f>
        <v>305454.4</v>
      </c>
      <c r="H51" s="12"/>
      <c r="I51" s="11">
        <f>SUM(I43:I50)</f>
        <v>306807.04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6.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6.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6.5" customHeight="1">
      <c r="A54" s="1" t="s">
        <v>47</v>
      </c>
      <c r="B54" s="2"/>
      <c r="C54" s="2"/>
      <c r="D54" s="2"/>
      <c r="E54" s="11">
        <f>E29+E36+E40+E51</f>
        <v>523186.0267</v>
      </c>
      <c r="F54" s="12"/>
      <c r="G54" s="11">
        <f>G29+G36+G40+G51</f>
        <v>1713621.067</v>
      </c>
      <c r="H54" s="12"/>
      <c r="I54" s="11">
        <f>I29+I36+I40+I51</f>
        <v>2642140.373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6.5" customHeight="1">
      <c r="A55" s="1"/>
      <c r="B55" s="2"/>
      <c r="C55" s="2"/>
      <c r="D55" s="2"/>
      <c r="E55" s="18"/>
      <c r="F55" s="18"/>
      <c r="G55" s="18"/>
      <c r="H55" s="18"/>
      <c r="I55" s="18"/>
      <c r="J55" s="18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6.5" customHeight="1">
      <c r="A56" s="1" t="s">
        <v>48</v>
      </c>
      <c r="B56" s="2"/>
      <c r="C56" s="2"/>
      <c r="D56" s="2"/>
      <c r="E56" s="19">
        <f>E23-E54</f>
        <v>-407189.2142</v>
      </c>
      <c r="F56" s="20"/>
      <c r="G56" s="19">
        <f>G23-G54</f>
        <v>-1028034.373</v>
      </c>
      <c r="H56" s="20"/>
      <c r="I56" s="19">
        <f>I23-I54</f>
        <v>-444417.9502</v>
      </c>
      <c r="J56" s="18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6.5" customHeight="1">
      <c r="A57" s="2"/>
      <c r="B57" s="2"/>
      <c r="C57" s="2"/>
      <c r="D57" s="2"/>
      <c r="E57" s="18"/>
      <c r="F57" s="18"/>
      <c r="G57" s="18"/>
      <c r="H57" s="18"/>
      <c r="I57" s="18"/>
      <c r="J57" s="18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6.5" customHeight="1">
      <c r="A58" s="2"/>
      <c r="B58" s="2" t="s">
        <v>49</v>
      </c>
      <c r="C58" s="2"/>
      <c r="D58" s="2"/>
      <c r="E58" s="8">
        <f>E56*0.2</f>
        <v>-81437.84285</v>
      </c>
      <c r="F58" s="8"/>
      <c r="G58" s="8">
        <f>G56*0.2</f>
        <v>-205606.8746</v>
      </c>
      <c r="H58" s="8"/>
      <c r="I58" s="8">
        <f>I56*0.2</f>
        <v>-88883.59005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6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6.5" customHeight="1">
      <c r="A60" s="1" t="s">
        <v>50</v>
      </c>
      <c r="B60" s="2"/>
      <c r="C60" s="2"/>
      <c r="D60" s="2"/>
      <c r="E60" s="21">
        <f>E56-E58</f>
        <v>-325751.3714</v>
      </c>
      <c r="F60" s="22"/>
      <c r="G60" s="21">
        <f>G56-G58</f>
        <v>-822427.4984</v>
      </c>
      <c r="H60" s="22"/>
      <c r="I60" s="21">
        <f>I56-I58</f>
        <v>-355534.3602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6.5" customHeight="1">
      <c r="A61" s="2" t="s">
        <v>25</v>
      </c>
      <c r="B61" s="2"/>
      <c r="C61" s="2"/>
      <c r="D61" s="2"/>
      <c r="E61" s="16">
        <f>(E12-E54)/E12</f>
        <v>-0.9525085943</v>
      </c>
      <c r="F61" s="16"/>
      <c r="G61" s="16">
        <f>(G12-G54)/G12</f>
        <v>-0.2506201932</v>
      </c>
      <c r="H61" s="16"/>
      <c r="I61" s="16">
        <f>(I12-I54)/I12</f>
        <v>-0.1252194842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6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6.5" customHeight="1">
      <c r="A63" s="2"/>
      <c r="B63" s="2"/>
      <c r="C63" s="2"/>
      <c r="D63" s="2"/>
      <c r="E63" s="2"/>
      <c r="F63" s="2"/>
      <c r="G63" s="23"/>
      <c r="H63" s="2"/>
      <c r="I63" s="1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6.5" customHeight="1">
      <c r="A64" s="2"/>
      <c r="B64" s="2"/>
      <c r="C64" s="2"/>
      <c r="D64" s="2"/>
      <c r="E64" s="2"/>
      <c r="F64" s="2"/>
      <c r="G64" s="2"/>
      <c r="H64" s="2"/>
      <c r="I64" s="2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6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6.5" customHeight="1">
      <c r="A66" s="2"/>
      <c r="B66" s="2"/>
      <c r="C66" s="2"/>
      <c r="D66" s="2"/>
      <c r="E66" s="2"/>
      <c r="F66" s="2"/>
      <c r="G66" s="7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6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6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6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6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6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6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6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6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6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6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6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6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6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6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6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6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6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6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6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6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6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6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6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6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6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6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6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6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6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6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6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6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6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6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6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6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6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6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6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6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6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6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6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6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6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6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6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6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6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6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6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6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6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6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6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6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6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6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6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6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6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6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6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6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6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6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6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6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6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6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6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6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6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6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6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6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6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6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6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6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6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6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6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6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6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6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6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6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6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6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6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6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6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6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6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6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6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6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6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6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6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6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6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6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6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6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6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6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6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6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6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6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6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6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6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6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6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6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6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6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6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6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6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6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6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6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6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6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6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6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6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6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6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6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6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6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6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6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6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6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6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6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6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6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6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6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6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6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6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6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6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6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6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6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6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6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6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6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6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6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6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6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6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6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6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6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6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6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6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6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6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6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6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6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6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6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6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6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6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6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6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6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6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6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6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6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6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6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6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6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6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6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6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6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6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6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6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6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6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6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6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6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6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6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6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6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6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6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6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6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6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6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6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6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6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6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6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6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6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6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6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6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6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6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6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6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6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6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6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6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6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6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6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6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6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6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6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6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6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6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6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6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6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6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6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6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6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6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6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6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6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6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6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6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6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6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6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6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6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6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6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6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6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6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6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6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6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6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6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6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6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6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6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6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6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6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6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6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6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6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6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6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6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6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6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6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6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6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6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6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6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6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6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6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6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6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6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6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6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6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6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6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6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6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6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6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6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6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6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6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6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6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6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6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6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6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6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6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6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6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6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6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6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6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6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6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6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6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6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6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6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6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6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6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6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6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6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6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6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6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6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6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6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6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6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6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6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6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6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6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6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6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6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6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6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6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6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6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6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6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6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6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6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6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6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6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6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6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6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6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6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6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6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6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6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6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6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6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6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6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6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6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6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6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6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6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6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6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6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6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6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6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6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6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6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6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6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6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6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6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6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6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6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6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6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6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6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6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6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6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6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6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6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6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6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6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6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6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6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6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6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6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6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6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6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6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6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6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6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6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6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6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6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6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6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6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6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6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6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6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6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6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6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6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6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6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6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6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6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6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6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6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6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6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6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6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6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6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6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6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6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6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6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6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6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6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6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6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6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6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6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6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6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6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6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6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6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6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6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6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6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6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6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6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6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6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6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6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6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6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6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6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6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6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6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6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6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6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6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6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6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6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6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6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6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6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6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6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6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6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6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6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6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6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6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6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6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6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6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6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6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6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6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6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6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6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6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6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6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6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6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6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6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6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6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6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6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6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6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6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6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6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6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6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6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6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6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6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6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6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6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6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6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6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6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6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6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6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6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6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6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6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6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6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6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6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6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6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6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6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6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6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6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6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6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6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6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6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6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6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6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6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6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6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6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6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6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6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6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6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6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6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6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6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6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6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6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6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6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6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6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6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6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6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6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6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6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6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6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6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6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6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6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6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6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6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6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6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6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6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6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6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6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6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6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6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6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6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6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6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6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6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6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6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6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6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6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6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6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6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6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6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6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6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6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6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6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6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6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6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6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6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6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6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6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6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6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6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6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6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6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6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6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6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6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6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6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6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6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6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6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6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6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6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6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6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6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6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6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6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6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6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6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6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6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6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6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6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6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6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6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6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6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6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6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6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6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6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6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6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6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6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6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6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6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6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6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6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6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6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6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6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6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6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6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6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6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6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6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6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6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6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6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6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6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6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6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6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6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6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6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6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6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6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6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6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6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6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6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6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6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6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6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6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6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6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6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6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6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6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6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6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6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6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6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6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6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6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6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6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6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6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6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6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6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6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6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6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6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6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6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6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6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6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6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6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6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6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6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6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6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6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6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6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6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6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6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6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6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6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6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6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6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6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6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6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6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6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6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6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6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6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6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6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6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6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6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6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6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6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6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6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6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6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6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6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6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6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6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6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6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6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6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6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6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6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6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6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6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6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6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6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6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6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6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6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6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6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6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6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6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6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6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6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6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6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6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6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6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6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6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6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6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6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6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6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6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6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6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6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6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6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6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6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6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6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6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6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6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6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6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6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6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6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6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6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6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6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6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6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6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6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6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6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6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6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6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6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6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6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6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6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6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6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6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6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6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6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6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6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6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6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6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6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6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6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6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6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6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6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6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6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6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6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6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6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6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6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6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6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6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6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6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6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6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6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6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6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6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1">
    <mergeCell ref="E4:I4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28.33"/>
    <col customWidth="1" min="2" max="2" width="11.11"/>
    <col customWidth="1" min="3" max="3" width="13.22"/>
    <col customWidth="1" min="4" max="4" width="10.78"/>
    <col customWidth="1" min="5" max="5" width="13.0"/>
    <col customWidth="1" min="6" max="7" width="11.11"/>
    <col customWidth="1" min="8" max="8" width="11.33"/>
    <col customWidth="1" min="9" max="9" width="7.78"/>
    <col customWidth="1" min="10" max="10" width="12.89"/>
    <col customWidth="1" min="11" max="11" width="10.78"/>
  </cols>
  <sheetData>
    <row r="1">
      <c r="A1" s="58" t="s">
        <v>192</v>
      </c>
      <c r="B1" s="59"/>
      <c r="C1" s="59"/>
      <c r="D1" s="59"/>
      <c r="E1" s="59"/>
      <c r="F1" s="59"/>
      <c r="G1" s="59"/>
      <c r="H1" s="59"/>
      <c r="I1" s="59"/>
      <c r="J1" s="59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>
      <c r="A2" s="59" t="s">
        <v>193</v>
      </c>
      <c r="B2" s="59"/>
      <c r="C2" s="59"/>
      <c r="D2" s="59"/>
      <c r="E2" s="59"/>
      <c r="F2" s="59"/>
      <c r="G2" s="59"/>
      <c r="H2" s="59"/>
      <c r="I2" s="59"/>
      <c r="J2" s="59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>
      <c r="A3" s="60">
        <v>44442.0</v>
      </c>
      <c r="B3" s="59"/>
      <c r="C3" s="59"/>
      <c r="D3" s="59"/>
      <c r="E3" s="59"/>
      <c r="F3" s="59"/>
      <c r="G3" s="59"/>
      <c r="H3" s="59"/>
      <c r="I3" s="59"/>
      <c r="J3" s="59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>
      <c r="A4" s="59"/>
      <c r="B4" s="59"/>
      <c r="C4" s="59"/>
      <c r="D4" s="59"/>
      <c r="E4" s="59"/>
      <c r="F4" s="59"/>
      <c r="G4" s="59"/>
      <c r="H4" s="59"/>
      <c r="I4" s="59"/>
      <c r="J4" s="59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>
      <c r="A5" s="61" t="s">
        <v>194</v>
      </c>
      <c r="B5" s="62" t="s">
        <v>195</v>
      </c>
      <c r="C5" s="62" t="s">
        <v>196</v>
      </c>
      <c r="D5" s="62" t="s">
        <v>197</v>
      </c>
      <c r="E5" s="62" t="s">
        <v>198</v>
      </c>
      <c r="F5" s="62" t="s">
        <v>199</v>
      </c>
      <c r="G5" s="62" t="s">
        <v>200</v>
      </c>
      <c r="H5" s="62" t="s">
        <v>201</v>
      </c>
      <c r="I5" s="62" t="s">
        <v>202</v>
      </c>
      <c r="J5" s="62" t="s">
        <v>203</v>
      </c>
      <c r="K5" s="26" t="s">
        <v>204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>
      <c r="A6" s="63" t="s">
        <v>205</v>
      </c>
      <c r="B6" s="64" t="s">
        <v>206</v>
      </c>
      <c r="C6" s="65">
        <v>1.74</v>
      </c>
      <c r="D6" s="65">
        <v>1.9</v>
      </c>
      <c r="E6" s="65">
        <v>0.835</v>
      </c>
      <c r="F6" s="65">
        <v>0.23</v>
      </c>
      <c r="G6" s="65">
        <v>1.09</v>
      </c>
      <c r="H6" s="66">
        <f t="shared" ref="H6:H10" si="2">SUM(C6:G6)</f>
        <v>5.795</v>
      </c>
      <c r="I6" s="67">
        <v>5000.0</v>
      </c>
      <c r="J6" s="66">
        <f t="shared" ref="J6:J10" si="3">I6*H6</f>
        <v>28975</v>
      </c>
      <c r="K6" s="45">
        <f>J6*3</f>
        <v>86925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>
      <c r="A7" s="63" t="s">
        <v>205</v>
      </c>
      <c r="B7" s="68" t="s">
        <v>206</v>
      </c>
      <c r="C7" s="66">
        <f t="shared" ref="C7:G7" si="1">C6*0.95</f>
        <v>1.653</v>
      </c>
      <c r="D7" s="65">
        <f t="shared" si="1"/>
        <v>1.805</v>
      </c>
      <c r="E7" s="65">
        <f t="shared" si="1"/>
        <v>0.79325</v>
      </c>
      <c r="F7" s="65">
        <f t="shared" si="1"/>
        <v>0.2185</v>
      </c>
      <c r="G7" s="65">
        <f t="shared" si="1"/>
        <v>1.0355</v>
      </c>
      <c r="H7" s="66">
        <f t="shared" si="2"/>
        <v>5.50525</v>
      </c>
      <c r="I7" s="69">
        <v>25000.0</v>
      </c>
      <c r="J7" s="66">
        <f t="shared" si="3"/>
        <v>137631.25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>
      <c r="A8" s="63" t="s">
        <v>205</v>
      </c>
      <c r="B8" s="64" t="s">
        <v>206</v>
      </c>
      <c r="C8" s="66">
        <f t="shared" ref="C8:G8" si="4">C7*0.95</f>
        <v>1.57035</v>
      </c>
      <c r="D8" s="65">
        <f t="shared" si="4"/>
        <v>1.71475</v>
      </c>
      <c r="E8" s="65">
        <f t="shared" si="4"/>
        <v>0.7535875</v>
      </c>
      <c r="F8" s="65">
        <f t="shared" si="4"/>
        <v>0.207575</v>
      </c>
      <c r="G8" s="65">
        <f t="shared" si="4"/>
        <v>0.983725</v>
      </c>
      <c r="H8" s="66">
        <f t="shared" si="2"/>
        <v>5.2299875</v>
      </c>
      <c r="I8" s="69">
        <v>50000.0</v>
      </c>
      <c r="J8" s="66">
        <f t="shared" si="3"/>
        <v>261499.375</v>
      </c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</row>
    <row r="9">
      <c r="A9" s="63" t="s">
        <v>205</v>
      </c>
      <c r="B9" s="64" t="s">
        <v>206</v>
      </c>
      <c r="C9" s="66">
        <f t="shared" ref="C9:G9" si="5">C8*0.95</f>
        <v>1.4918325</v>
      </c>
      <c r="D9" s="65">
        <f t="shared" si="5"/>
        <v>1.6290125</v>
      </c>
      <c r="E9" s="65">
        <f t="shared" si="5"/>
        <v>0.715908125</v>
      </c>
      <c r="F9" s="65">
        <f t="shared" si="5"/>
        <v>0.19719625</v>
      </c>
      <c r="G9" s="65">
        <f t="shared" si="5"/>
        <v>0.93453875</v>
      </c>
      <c r="H9" s="66">
        <f t="shared" si="2"/>
        <v>4.968488125</v>
      </c>
      <c r="I9" s="69">
        <v>100000.0</v>
      </c>
      <c r="J9" s="66">
        <f t="shared" si="3"/>
        <v>496848.8125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>
      <c r="A10" s="63" t="s">
        <v>205</v>
      </c>
      <c r="B10" s="64" t="s">
        <v>206</v>
      </c>
      <c r="C10" s="66">
        <f t="shared" ref="C10:G10" si="6">C9*0.95</f>
        <v>1.417240875</v>
      </c>
      <c r="D10" s="65">
        <f t="shared" si="6"/>
        <v>1.547561875</v>
      </c>
      <c r="E10" s="65">
        <f t="shared" si="6"/>
        <v>0.6801127188</v>
      </c>
      <c r="F10" s="65">
        <f t="shared" si="6"/>
        <v>0.1873364375</v>
      </c>
      <c r="G10" s="65">
        <f t="shared" si="6"/>
        <v>0.8878118125</v>
      </c>
      <c r="H10" s="66">
        <f t="shared" si="2"/>
        <v>4.720063719</v>
      </c>
      <c r="I10" s="69">
        <v>250000.0</v>
      </c>
      <c r="J10" s="66">
        <f t="shared" si="3"/>
        <v>1180015.93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>
      <c r="A11" s="59"/>
      <c r="B11" s="59"/>
      <c r="C11" s="59"/>
      <c r="D11" s="70"/>
      <c r="E11" s="59"/>
      <c r="F11" s="59"/>
      <c r="G11" s="59"/>
      <c r="H11" s="59"/>
      <c r="I11" s="71"/>
      <c r="J11" s="71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>
      <c r="A13" s="41" t="s">
        <v>207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>
      <c r="A14" s="26"/>
      <c r="B14" s="41">
        <v>2021.0</v>
      </c>
      <c r="C14" s="41">
        <v>2022.0</v>
      </c>
      <c r="D14" s="41">
        <v>2023.0</v>
      </c>
      <c r="E14" s="41" t="s">
        <v>53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>
      <c r="A15" s="26" t="s">
        <v>3</v>
      </c>
      <c r="B15" s="44">
        <f>'3 Year Annual Projection'!D8</f>
        <v>191286.8433</v>
      </c>
      <c r="C15" s="44">
        <f>'3 Year Annual Projection'!E8</f>
        <v>1155855.556</v>
      </c>
      <c r="D15" s="44">
        <f>'3 Year Annual Projection'!F8</f>
        <v>2006044.444</v>
      </c>
      <c r="E15" s="44">
        <f>sum(B15:D15)</f>
        <v>3353186.843</v>
      </c>
      <c r="F15" s="26"/>
      <c r="G15" s="26">
        <f>C17/12</f>
        <v>4816.064815</v>
      </c>
      <c r="H15" s="26"/>
      <c r="I15" s="26"/>
      <c r="J15" s="72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>
      <c r="A16" s="26" t="s">
        <v>208</v>
      </c>
      <c r="B16" s="73">
        <v>20.0</v>
      </c>
      <c r="C16" s="73">
        <v>20.0</v>
      </c>
      <c r="D16" s="73">
        <v>20.0</v>
      </c>
      <c r="E16" s="26"/>
      <c r="F16" s="26"/>
      <c r="G16" s="26">
        <f>G15*6</f>
        <v>28896.38889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>
      <c r="A17" s="26" t="s">
        <v>209</v>
      </c>
      <c r="B17" s="72">
        <f t="shared" ref="B17:D17" si="7">B15/B16</f>
        <v>9564.342163</v>
      </c>
      <c r="C17" s="72">
        <f t="shared" si="7"/>
        <v>57792.77778</v>
      </c>
      <c r="D17" s="72">
        <f t="shared" si="7"/>
        <v>100302.2222</v>
      </c>
      <c r="E17" s="72">
        <f t="shared" ref="E17:E18" si="8">sum(B17:D17)</f>
        <v>167659.3422</v>
      </c>
      <c r="F17" s="26"/>
      <c r="G17" s="26">
        <f>G16/3</f>
        <v>9632.12963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>
      <c r="A18" s="26" t="s">
        <v>210</v>
      </c>
      <c r="B18" s="45">
        <f>B17*H6</f>
        <v>55425.36283</v>
      </c>
      <c r="C18" s="45">
        <f>C17*H7</f>
        <v>318163.6899</v>
      </c>
      <c r="D18" s="45">
        <f>D17*H9</f>
        <v>498350.4</v>
      </c>
      <c r="E18" s="45">
        <f t="shared" si="8"/>
        <v>871939.4527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>
      <c r="A20" s="26"/>
      <c r="B20" s="41">
        <v>2021.0</v>
      </c>
      <c r="C20" s="41">
        <v>2022.0</v>
      </c>
      <c r="D20" s="41">
        <v>2023.0</v>
      </c>
      <c r="E20" s="41" t="s">
        <v>53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</row>
    <row r="21">
      <c r="A21" s="26" t="s">
        <v>209</v>
      </c>
      <c r="B21" s="72">
        <v>15000.0</v>
      </c>
      <c r="C21" s="72">
        <f>(B17+C17)-B21</f>
        <v>52357.11994</v>
      </c>
      <c r="D21" s="72">
        <f>D17</f>
        <v>100302.2222</v>
      </c>
      <c r="E21" s="72">
        <f t="shared" ref="E21:E22" si="9">sum(B21:D21)</f>
        <v>167659.3422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</row>
    <row r="22">
      <c r="A22" s="26" t="s">
        <v>210</v>
      </c>
      <c r="B22" s="44">
        <f>B21*H6</f>
        <v>86925</v>
      </c>
      <c r="C22" s="44">
        <f>C21*H7</f>
        <v>288239.0346</v>
      </c>
      <c r="D22" s="44">
        <f>D21*H9</f>
        <v>498350.4</v>
      </c>
      <c r="E22" s="44">
        <f t="shared" si="9"/>
        <v>873514.4346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>
      <c r="A24" s="26"/>
      <c r="B24" s="41">
        <v>2021.0</v>
      </c>
      <c r="C24" s="41">
        <v>2022.0</v>
      </c>
      <c r="D24" s="41">
        <v>2023.0</v>
      </c>
      <c r="E24" s="41" t="s">
        <v>53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>
      <c r="A25" s="26" t="s">
        <v>209</v>
      </c>
      <c r="B25" s="72">
        <v>15000.0</v>
      </c>
      <c r="C25" s="72">
        <f>(B21+C21)-B25</f>
        <v>52357.11994</v>
      </c>
      <c r="D25" s="72">
        <f>D21</f>
        <v>100302.2222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>
      <c r="A26" s="26" t="s">
        <v>211</v>
      </c>
      <c r="B26" s="45">
        <f>B25*B30*12</f>
        <v>54</v>
      </c>
      <c r="C26" s="45">
        <f>C25*B30*12</f>
        <v>188.4856318</v>
      </c>
      <c r="D26" s="45">
        <f>D25*B30*12</f>
        <v>361.088</v>
      </c>
      <c r="E26" s="45">
        <f t="shared" ref="E26:E27" si="10">sum(B26:D26)</f>
        <v>603.5736318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>
      <c r="A27" s="26" t="s">
        <v>212</v>
      </c>
      <c r="B27" s="45">
        <f>B25*B31</f>
        <v>0</v>
      </c>
      <c r="C27" s="45">
        <f>C25*B31</f>
        <v>0</v>
      </c>
      <c r="D27" s="45">
        <f>D25*B31</f>
        <v>0</v>
      </c>
      <c r="E27" s="45">
        <f t="shared" si="10"/>
        <v>0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>
      <c r="A28" s="26" t="s">
        <v>210</v>
      </c>
      <c r="B28" s="45">
        <f t="shared" ref="B28:E28" si="11">SUM(B26:B27)</f>
        <v>54</v>
      </c>
      <c r="C28" s="45">
        <f t="shared" si="11"/>
        <v>188.4856318</v>
      </c>
      <c r="D28" s="45">
        <f t="shared" si="11"/>
        <v>361.088</v>
      </c>
      <c r="E28" s="45">
        <f t="shared" si="11"/>
        <v>603.5736318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>
      <c r="A30" s="26" t="s">
        <v>213</v>
      </c>
      <c r="B30" s="73">
        <v>3.0E-4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>
      <c r="A31" s="26" t="s">
        <v>214</v>
      </c>
      <c r="B31" s="73">
        <v>0.0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</row>
    <row r="3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>
      <c r="A34" s="26"/>
      <c r="B34" s="26"/>
      <c r="C34" s="44"/>
      <c r="D34" s="44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</row>
    <row r="36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39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</row>
    <row r="40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</row>
    <row r="4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</row>
    <row r="4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</row>
    <row r="43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</row>
    <row r="44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</row>
    <row r="4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</row>
    <row r="47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</row>
    <row r="48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</row>
    <row r="49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</row>
    <row r="5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</row>
    <row r="5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</row>
    <row r="53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</row>
    <row r="54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</row>
    <row r="5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</row>
    <row r="56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</row>
    <row r="58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</row>
    <row r="59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</row>
    <row r="6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</row>
    <row r="6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</row>
    <row r="63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</row>
    <row r="64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</row>
    <row r="6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</row>
    <row r="66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</row>
    <row r="67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</row>
    <row r="68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</row>
    <row r="69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</row>
    <row r="70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</row>
    <row r="7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</row>
    <row r="7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</row>
    <row r="73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</row>
    <row r="74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</row>
    <row r="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</row>
    <row r="76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</row>
    <row r="77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</row>
    <row r="78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</row>
    <row r="79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</row>
    <row r="80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</row>
    <row r="8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</row>
    <row r="8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</row>
    <row r="83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</row>
    <row r="84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</row>
    <row r="8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</row>
    <row r="86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</row>
    <row r="87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</row>
    <row r="88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</row>
    <row r="89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</row>
    <row r="90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</row>
    <row r="9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</row>
    <row r="9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</row>
    <row r="93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</row>
    <row r="94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</row>
    <row r="9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</row>
    <row r="96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</row>
    <row r="97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</row>
    <row r="98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</row>
    <row r="99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</row>
    <row r="100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</row>
    <row r="10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</row>
    <row r="10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</row>
    <row r="103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</row>
    <row r="104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</row>
    <row r="10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</row>
    <row r="106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</row>
    <row r="107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</row>
    <row r="108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</row>
    <row r="109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</row>
    <row r="110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</row>
    <row r="11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</row>
    <row r="11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</row>
    <row r="113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</row>
    <row r="114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</row>
    <row r="11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</row>
    <row r="116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</row>
    <row r="117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</row>
    <row r="118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</row>
    <row r="119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</row>
    <row r="120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</row>
    <row r="12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</row>
    <row r="12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</row>
    <row r="123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</row>
    <row r="124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</row>
    <row r="1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</row>
    <row r="126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</row>
    <row r="127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</row>
    <row r="128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</row>
    <row r="129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</row>
    <row r="130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</row>
    <row r="13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</row>
    <row r="132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</row>
    <row r="133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</row>
    <row r="134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</row>
    <row r="13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</row>
    <row r="136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</row>
    <row r="137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</row>
    <row r="138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</row>
    <row r="139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</row>
    <row r="140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</row>
    <row r="14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</row>
    <row r="142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</row>
    <row r="143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</row>
    <row r="144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</row>
    <row r="14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</row>
    <row r="146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</row>
    <row r="147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</row>
    <row r="148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</row>
    <row r="149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</row>
    <row r="150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</row>
    <row r="15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</row>
    <row r="152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</row>
    <row r="153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</row>
    <row r="154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</row>
    <row r="15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</row>
    <row r="156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</row>
    <row r="157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</row>
    <row r="158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</row>
    <row r="159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</row>
    <row r="160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</row>
    <row r="16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</row>
    <row r="162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</row>
    <row r="163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</row>
    <row r="164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</row>
    <row r="16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</row>
    <row r="166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</row>
    <row r="167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</row>
    <row r="168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</row>
    <row r="169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</row>
    <row r="170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</row>
    <row r="17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</row>
    <row r="172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</row>
    <row r="173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</row>
    <row r="174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</row>
    <row r="1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</row>
    <row r="176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</row>
    <row r="177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</row>
    <row r="178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</row>
    <row r="179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</row>
    <row r="180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</row>
    <row r="18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</row>
    <row r="182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</row>
    <row r="183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</row>
    <row r="184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</row>
    <row r="18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</row>
    <row r="186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</row>
    <row r="187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</row>
    <row r="188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</row>
    <row r="189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</row>
    <row r="190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</row>
    <row r="19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</row>
    <row r="192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</row>
    <row r="193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</row>
    <row r="194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</row>
    <row r="19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</row>
    <row r="196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</row>
    <row r="197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</row>
    <row r="198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</row>
    <row r="199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</row>
    <row r="200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</row>
    <row r="20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</row>
    <row r="202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</row>
    <row r="203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</row>
    <row r="204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</row>
    <row r="20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</row>
    <row r="206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</row>
    <row r="207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</row>
    <row r="208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</row>
    <row r="209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</row>
    <row r="210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</row>
    <row r="21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</row>
    <row r="212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</row>
    <row r="213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</row>
    <row r="214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</row>
    <row r="21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</row>
    <row r="216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</row>
    <row r="217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</row>
    <row r="218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</row>
    <row r="219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</row>
    <row r="220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</row>
    <row r="22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</row>
    <row r="222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</row>
    <row r="223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</row>
    <row r="224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</row>
    <row r="2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</row>
    <row r="226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</row>
    <row r="227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</row>
    <row r="228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</row>
    <row r="229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</row>
    <row r="230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</row>
    <row r="23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</row>
    <row r="232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</row>
    <row r="233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</row>
    <row r="234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</row>
    <row r="23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</row>
    <row r="236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</row>
    <row r="237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</row>
    <row r="238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</row>
    <row r="239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</row>
    <row r="240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</row>
    <row r="24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</row>
    <row r="242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</row>
    <row r="243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</row>
    <row r="244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</row>
    <row r="24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</row>
    <row r="246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</row>
    <row r="247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</row>
    <row r="248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</row>
    <row r="249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</row>
    <row r="250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</row>
    <row r="25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</row>
    <row r="252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</row>
    <row r="253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</row>
    <row r="254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</row>
    <row r="25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</row>
    <row r="256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</row>
    <row r="257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</row>
    <row r="258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</row>
    <row r="259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</row>
    <row r="260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</row>
    <row r="26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</row>
    <row r="262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</row>
    <row r="263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</row>
    <row r="264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</row>
    <row r="26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</row>
    <row r="266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</row>
    <row r="267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</row>
    <row r="268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</row>
    <row r="269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</row>
    <row r="270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</row>
    <row r="27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</row>
    <row r="272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</row>
    <row r="273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</row>
    <row r="274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</row>
    <row r="27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</row>
    <row r="276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</row>
    <row r="277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</row>
    <row r="278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</row>
    <row r="279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</row>
    <row r="280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</row>
    <row r="28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</row>
    <row r="282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</row>
    <row r="283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</row>
    <row r="284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</row>
    <row r="28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</row>
    <row r="286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</row>
    <row r="287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</row>
    <row r="288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</row>
    <row r="289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</row>
    <row r="290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</row>
    <row r="29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</row>
    <row r="292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</row>
    <row r="293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</row>
    <row r="294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</row>
    <row r="29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</row>
    <row r="296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</row>
    <row r="297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</row>
    <row r="298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</row>
    <row r="299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</row>
    <row r="300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</row>
    <row r="30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</row>
    <row r="302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</row>
    <row r="303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</row>
    <row r="304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</row>
    <row r="30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</row>
    <row r="306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</row>
    <row r="307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</row>
    <row r="308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</row>
    <row r="309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</row>
    <row r="310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</row>
    <row r="31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</row>
    <row r="312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</row>
    <row r="313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</row>
    <row r="314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</row>
    <row r="31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</row>
    <row r="316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</row>
    <row r="317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</row>
    <row r="318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</row>
    <row r="319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</row>
    <row r="320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</row>
    <row r="32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</row>
    <row r="322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</row>
    <row r="323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</row>
    <row r="324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</row>
    <row r="3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</row>
    <row r="326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</row>
    <row r="327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</row>
    <row r="328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</row>
    <row r="329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</row>
    <row r="330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</row>
    <row r="33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</row>
    <row r="332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</row>
    <row r="333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</row>
    <row r="334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</row>
    <row r="33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</row>
    <row r="336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</row>
    <row r="337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</row>
    <row r="338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</row>
    <row r="339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</row>
    <row r="340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</row>
    <row r="34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</row>
    <row r="342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</row>
    <row r="343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</row>
    <row r="344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</row>
    <row r="34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</row>
    <row r="346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</row>
    <row r="347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</row>
    <row r="348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</row>
    <row r="349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</row>
    <row r="350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</row>
    <row r="35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</row>
    <row r="352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</row>
    <row r="353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</row>
    <row r="354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</row>
    <row r="35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</row>
    <row r="356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</row>
    <row r="357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</row>
    <row r="358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</row>
    <row r="359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</row>
    <row r="360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</row>
    <row r="36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</row>
    <row r="362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</row>
    <row r="363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</row>
    <row r="364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</row>
    <row r="36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</row>
    <row r="366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</row>
    <row r="367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</row>
    <row r="368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</row>
    <row r="369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</row>
    <row r="370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</row>
    <row r="37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</row>
    <row r="372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</row>
    <row r="373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</row>
    <row r="374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</row>
    <row r="37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</row>
    <row r="376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</row>
    <row r="377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</row>
    <row r="378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</row>
    <row r="379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</row>
    <row r="380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</row>
    <row r="38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</row>
    <row r="382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</row>
    <row r="383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</row>
    <row r="384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</row>
    <row r="38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</row>
    <row r="386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</row>
    <row r="387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</row>
    <row r="388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</row>
    <row r="389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</row>
    <row r="390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</row>
    <row r="39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</row>
    <row r="392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</row>
    <row r="393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</row>
    <row r="394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</row>
    <row r="39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</row>
    <row r="396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</row>
    <row r="397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</row>
    <row r="398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</row>
    <row r="399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</row>
    <row r="400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</row>
    <row r="40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</row>
    <row r="402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</row>
    <row r="403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</row>
    <row r="404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</row>
    <row r="40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</row>
    <row r="406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</row>
    <row r="407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</row>
    <row r="408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</row>
    <row r="409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</row>
    <row r="410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</row>
    <row r="41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</row>
    <row r="412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</row>
    <row r="413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</row>
    <row r="414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</row>
    <row r="41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</row>
    <row r="416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</row>
    <row r="417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</row>
    <row r="418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</row>
    <row r="419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</row>
    <row r="420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</row>
    <row r="42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</row>
    <row r="422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</row>
    <row r="423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</row>
    <row r="424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</row>
    <row r="4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</row>
    <row r="426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</row>
    <row r="427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</row>
    <row r="428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</row>
    <row r="429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</row>
    <row r="430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</row>
    <row r="43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</row>
    <row r="432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</row>
    <row r="433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</row>
    <row r="434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</row>
    <row r="43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</row>
    <row r="436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</row>
    <row r="437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</row>
    <row r="438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</row>
    <row r="439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</row>
    <row r="440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</row>
    <row r="44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</row>
    <row r="442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</row>
    <row r="443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</row>
    <row r="444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</row>
    <row r="44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</row>
    <row r="446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</row>
    <row r="447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</row>
    <row r="448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</row>
    <row r="449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</row>
    <row r="450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</row>
    <row r="45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</row>
    <row r="452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</row>
    <row r="453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</row>
    <row r="454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</row>
    <row r="45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</row>
    <row r="456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</row>
    <row r="457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</row>
    <row r="458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</row>
    <row r="459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</row>
    <row r="460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</row>
    <row r="46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</row>
    <row r="462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</row>
    <row r="463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</row>
    <row r="464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</row>
    <row r="46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</row>
    <row r="466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</row>
    <row r="467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</row>
    <row r="468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</row>
    <row r="469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</row>
    <row r="470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</row>
    <row r="47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</row>
    <row r="472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</row>
    <row r="473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</row>
    <row r="474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</row>
    <row r="47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</row>
    <row r="476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</row>
    <row r="477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</row>
    <row r="478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</row>
    <row r="479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</row>
    <row r="480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</row>
    <row r="48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</row>
    <row r="482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</row>
    <row r="483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</row>
    <row r="484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</row>
    <row r="48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</row>
    <row r="486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</row>
    <row r="487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</row>
    <row r="488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</row>
    <row r="489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</row>
    <row r="490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</row>
    <row r="49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</row>
    <row r="492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</row>
    <row r="493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</row>
    <row r="494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</row>
    <row r="49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</row>
    <row r="496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</row>
    <row r="497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</row>
    <row r="498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</row>
    <row r="499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</row>
    <row r="500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</row>
    <row r="50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</row>
    <row r="502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</row>
    <row r="503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</row>
    <row r="504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</row>
    <row r="50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</row>
    <row r="506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</row>
    <row r="507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</row>
    <row r="508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</row>
    <row r="509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</row>
    <row r="510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</row>
    <row r="51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</row>
    <row r="512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</row>
    <row r="513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</row>
    <row r="514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</row>
    <row r="51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</row>
    <row r="516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</row>
    <row r="517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</row>
    <row r="518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</row>
    <row r="519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</row>
    <row r="520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</row>
    <row r="52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</row>
    <row r="522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</row>
    <row r="523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</row>
    <row r="524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</row>
    <row r="52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</row>
    <row r="526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</row>
    <row r="527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</row>
    <row r="528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</row>
    <row r="529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</row>
    <row r="530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</row>
    <row r="53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</row>
    <row r="532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</row>
    <row r="533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</row>
    <row r="534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</row>
    <row r="53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</row>
    <row r="536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</row>
    <row r="537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</row>
    <row r="538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</row>
    <row r="539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</row>
    <row r="540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</row>
    <row r="54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</row>
    <row r="542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</row>
    <row r="543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</row>
    <row r="544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</row>
    <row r="54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</row>
    <row r="546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</row>
    <row r="547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</row>
    <row r="548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</row>
    <row r="549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</row>
    <row r="550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</row>
    <row r="55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</row>
    <row r="552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</row>
    <row r="553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</row>
    <row r="554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</row>
    <row r="55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</row>
    <row r="556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</row>
    <row r="557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</row>
    <row r="558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</row>
    <row r="559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</row>
    <row r="560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</row>
    <row r="56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</row>
    <row r="562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</row>
    <row r="563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</row>
    <row r="564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</row>
    <row r="56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</row>
    <row r="566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</row>
    <row r="567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</row>
    <row r="568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</row>
    <row r="569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</row>
    <row r="570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</row>
    <row r="57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</row>
    <row r="572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</row>
    <row r="573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</row>
    <row r="574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</row>
    <row r="57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</row>
    <row r="576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</row>
    <row r="577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</row>
    <row r="578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</row>
    <row r="579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</row>
    <row r="580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</row>
    <row r="58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</row>
    <row r="582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</row>
    <row r="583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</row>
    <row r="584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</row>
    <row r="58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</row>
    <row r="586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</row>
    <row r="587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</row>
    <row r="588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</row>
    <row r="589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</row>
    <row r="590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</row>
    <row r="59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</row>
    <row r="592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</row>
    <row r="593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</row>
    <row r="594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</row>
    <row r="59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</row>
    <row r="596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</row>
    <row r="597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</row>
    <row r="598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</row>
    <row r="599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</row>
    <row r="600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</row>
    <row r="60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</row>
    <row r="602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</row>
    <row r="603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</row>
    <row r="604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</row>
    <row r="60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</row>
    <row r="606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</row>
    <row r="607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</row>
    <row r="608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</row>
    <row r="609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</row>
    <row r="610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</row>
    <row r="61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</row>
    <row r="612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</row>
    <row r="613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</row>
    <row r="614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</row>
    <row r="61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</row>
    <row r="616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</row>
    <row r="617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</row>
    <row r="618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</row>
    <row r="619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</row>
    <row r="620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</row>
    <row r="62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</row>
    <row r="622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</row>
    <row r="623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</row>
    <row r="624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</row>
    <row r="62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</row>
    <row r="626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</row>
    <row r="627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</row>
    <row r="628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</row>
    <row r="629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</row>
    <row r="630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</row>
    <row r="63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</row>
    <row r="632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</row>
    <row r="633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</row>
    <row r="634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</row>
    <row r="63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</row>
    <row r="636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</row>
    <row r="637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</row>
    <row r="638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</row>
    <row r="639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</row>
    <row r="640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</row>
    <row r="64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</row>
    <row r="642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</row>
    <row r="643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</row>
    <row r="644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</row>
    <row r="64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</row>
    <row r="646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</row>
    <row r="647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</row>
    <row r="648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</row>
    <row r="649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</row>
    <row r="650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</row>
    <row r="65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</row>
    <row r="652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</row>
    <row r="653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</row>
    <row r="654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</row>
    <row r="65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</row>
    <row r="656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</row>
    <row r="657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</row>
    <row r="658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</row>
    <row r="659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</row>
    <row r="660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</row>
    <row r="66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</row>
    <row r="662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</row>
    <row r="663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</row>
    <row r="664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</row>
    <row r="66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</row>
    <row r="666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</row>
    <row r="667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</row>
    <row r="668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</row>
    <row r="669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</row>
    <row r="670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</row>
    <row r="67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</row>
    <row r="672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</row>
    <row r="673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</row>
    <row r="674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</row>
    <row r="67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</row>
    <row r="676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</row>
    <row r="677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</row>
    <row r="678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</row>
    <row r="679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</row>
    <row r="680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</row>
    <row r="68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</row>
    <row r="682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</row>
    <row r="683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</row>
    <row r="684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</row>
    <row r="68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</row>
    <row r="686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</row>
    <row r="687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</row>
    <row r="688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</row>
    <row r="689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</row>
    <row r="690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</row>
    <row r="69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</row>
    <row r="692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</row>
    <row r="693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</row>
    <row r="694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</row>
    <row r="69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</row>
    <row r="696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</row>
    <row r="697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</row>
    <row r="698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</row>
    <row r="699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</row>
    <row r="700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</row>
    <row r="70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</row>
    <row r="702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</row>
    <row r="703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</row>
    <row r="704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</row>
    <row r="70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</row>
    <row r="706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</row>
    <row r="707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</row>
    <row r="708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</row>
    <row r="709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</row>
    <row r="710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</row>
    <row r="71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</row>
    <row r="712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</row>
    <row r="713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</row>
    <row r="714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</row>
    <row r="71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</row>
    <row r="716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</row>
    <row r="717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</row>
    <row r="718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</row>
    <row r="719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</row>
    <row r="720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</row>
    <row r="72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</row>
    <row r="722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</row>
    <row r="723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</row>
    <row r="724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</row>
    <row r="72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</row>
    <row r="726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</row>
    <row r="727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</row>
    <row r="728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</row>
    <row r="729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</row>
    <row r="730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</row>
    <row r="73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</row>
    <row r="732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</row>
    <row r="733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</row>
    <row r="734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</row>
    <row r="73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</row>
    <row r="736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</row>
    <row r="737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</row>
    <row r="738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</row>
    <row r="739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</row>
    <row r="740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</row>
    <row r="74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</row>
    <row r="742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</row>
    <row r="743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</row>
    <row r="744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</row>
    <row r="74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</row>
    <row r="746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</row>
    <row r="747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</row>
    <row r="748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</row>
    <row r="749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</row>
    <row r="750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</row>
    <row r="75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</row>
    <row r="752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</row>
    <row r="753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</row>
    <row r="754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</row>
    <row r="75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</row>
    <row r="756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</row>
    <row r="757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</row>
    <row r="758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</row>
    <row r="759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</row>
    <row r="760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</row>
    <row r="76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</row>
    <row r="762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</row>
    <row r="763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</row>
    <row r="764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</row>
    <row r="765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</row>
    <row r="766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</row>
    <row r="767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</row>
    <row r="768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</row>
    <row r="769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</row>
    <row r="770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</row>
    <row r="77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</row>
    <row r="772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</row>
    <row r="773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</row>
    <row r="774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</row>
    <row r="775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</row>
    <row r="776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</row>
    <row r="777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</row>
    <row r="778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</row>
    <row r="779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</row>
    <row r="780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</row>
    <row r="78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</row>
    <row r="782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</row>
    <row r="783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</row>
    <row r="784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</row>
    <row r="785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</row>
    <row r="786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</row>
    <row r="787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</row>
    <row r="788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</row>
    <row r="789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</row>
    <row r="790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</row>
    <row r="79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</row>
    <row r="792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</row>
    <row r="793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</row>
    <row r="794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</row>
    <row r="795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</row>
    <row r="796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</row>
    <row r="797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</row>
    <row r="798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</row>
    <row r="799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</row>
    <row r="800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</row>
    <row r="80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</row>
    <row r="802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</row>
    <row r="803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</row>
    <row r="804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</row>
    <row r="805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</row>
    <row r="806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</row>
    <row r="807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</row>
    <row r="808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</row>
    <row r="809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</row>
    <row r="810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</row>
    <row r="81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</row>
    <row r="812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</row>
    <row r="813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</row>
    <row r="814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</row>
    <row r="815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</row>
    <row r="816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</row>
    <row r="817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</row>
    <row r="818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</row>
    <row r="819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</row>
    <row r="820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</row>
    <row r="82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</row>
    <row r="822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</row>
    <row r="823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</row>
    <row r="824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</row>
    <row r="825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</row>
    <row r="826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</row>
    <row r="827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</row>
    <row r="828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</row>
    <row r="829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</row>
    <row r="830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</row>
    <row r="83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</row>
    <row r="832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</row>
    <row r="833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</row>
    <row r="834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</row>
    <row r="835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</row>
    <row r="836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</row>
    <row r="837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</row>
    <row r="838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</row>
    <row r="839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</row>
    <row r="840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</row>
    <row r="84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</row>
    <row r="842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</row>
    <row r="843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</row>
    <row r="844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</row>
    <row r="845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</row>
    <row r="846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</row>
    <row r="847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</row>
    <row r="848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</row>
    <row r="849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</row>
    <row r="850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</row>
    <row r="85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</row>
    <row r="852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</row>
    <row r="853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</row>
    <row r="854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</row>
    <row r="855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</row>
    <row r="856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</row>
    <row r="857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</row>
    <row r="858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</row>
    <row r="859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</row>
    <row r="860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</row>
    <row r="86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</row>
    <row r="862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</row>
    <row r="863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</row>
    <row r="864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</row>
    <row r="865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</row>
    <row r="866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</row>
    <row r="867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</row>
    <row r="868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</row>
    <row r="869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</row>
    <row r="870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</row>
    <row r="87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</row>
    <row r="872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</row>
    <row r="873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</row>
    <row r="874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</row>
    <row r="875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</row>
    <row r="876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</row>
    <row r="877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</row>
    <row r="878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</row>
    <row r="879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</row>
    <row r="880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</row>
    <row r="88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</row>
    <row r="882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</row>
    <row r="883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</row>
    <row r="884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</row>
    <row r="885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</row>
    <row r="886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</row>
    <row r="887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</row>
    <row r="888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</row>
    <row r="889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</row>
    <row r="890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</row>
    <row r="89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</row>
    <row r="892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</row>
    <row r="893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</row>
    <row r="894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</row>
    <row r="895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</row>
    <row r="896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</row>
    <row r="897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</row>
    <row r="898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</row>
    <row r="899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</row>
    <row r="900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</row>
    <row r="90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</row>
    <row r="902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</row>
    <row r="903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</row>
    <row r="904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</row>
    <row r="905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</row>
    <row r="906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</row>
    <row r="907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</row>
    <row r="908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</row>
    <row r="909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</row>
    <row r="910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</row>
    <row r="91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</row>
    <row r="912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</row>
    <row r="913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</row>
    <row r="914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</row>
    <row r="915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</row>
    <row r="916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</row>
    <row r="917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</row>
    <row r="918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</row>
    <row r="919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</row>
    <row r="920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</row>
    <row r="92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</row>
    <row r="922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</row>
    <row r="923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</row>
    <row r="924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</row>
    <row r="925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</row>
    <row r="926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</row>
    <row r="927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</row>
    <row r="928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</row>
    <row r="929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</row>
    <row r="930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</row>
    <row r="93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</row>
    <row r="932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</row>
    <row r="933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</row>
    <row r="934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</row>
    <row r="935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</row>
    <row r="936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</row>
    <row r="937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</row>
    <row r="938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</row>
    <row r="939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</row>
    <row r="940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</row>
    <row r="94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</row>
    <row r="942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</row>
    <row r="943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</row>
    <row r="944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</row>
    <row r="945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</row>
    <row r="946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</row>
    <row r="947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</row>
    <row r="948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</row>
    <row r="949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</row>
    <row r="950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</row>
    <row r="95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</row>
    <row r="952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</row>
    <row r="953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</row>
    <row r="954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</row>
    <row r="955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</row>
    <row r="956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</row>
    <row r="957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</row>
    <row r="958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</row>
    <row r="959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</row>
    <row r="960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</row>
    <row r="96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</row>
    <row r="962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</row>
    <row r="963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</row>
    <row r="964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</row>
    <row r="965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</row>
    <row r="966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</row>
    <row r="967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</row>
    <row r="968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</row>
    <row r="969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</row>
    <row r="970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</row>
    <row r="97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</row>
    <row r="972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</row>
    <row r="973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</row>
    <row r="974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</row>
    <row r="975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</row>
    <row r="976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</row>
    <row r="977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</row>
    <row r="978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</row>
    <row r="979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</row>
    <row r="980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</row>
    <row r="98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</row>
    <row r="982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</row>
    <row r="983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</row>
    <row r="984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</row>
    <row r="985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</row>
    <row r="986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</row>
    <row r="987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</row>
    <row r="988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</row>
    <row r="989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</row>
    <row r="990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</row>
    <row r="99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</row>
    <row r="992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</row>
    <row r="993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</row>
    <row r="994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</row>
    <row r="995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</row>
    <row r="996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</row>
    <row r="997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</row>
    <row r="998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</row>
    <row r="999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</row>
    <row r="1000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</row>
    <row r="1001">
      <c r="A1001" s="26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55.22"/>
  </cols>
  <sheetData>
    <row r="1">
      <c r="A1" s="26" t="s">
        <v>215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>
      <c r="A2" s="26" t="s">
        <v>216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>
      <c r="A3" s="26" t="s">
        <v>217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>
      <c r="A4" s="26" t="s">
        <v>218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>
      <c r="A5" s="26" t="s">
        <v>219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>
      <c r="A7" s="26" t="s">
        <v>220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>
      <c r="A9" s="26" t="s">
        <v>221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>
      <c r="A11" s="26" t="s">
        <v>222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>
      <c r="A13" s="26" t="s">
        <v>223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>
      <c r="A15" s="26" t="s">
        <v>224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>
      <c r="A17" s="26" t="s">
        <v>225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>
      <c r="A19" s="26" t="s">
        <v>226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>
      <c r="A20" s="26" t="s">
        <v>227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>
      <c r="A21" s="26" t="s">
        <v>228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>
      <c r="A22" s="26" t="s">
        <v>229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>
      <c r="A23" s="26" t="s">
        <v>230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>
      <c r="A24" s="26" t="s">
        <v>231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>
      <c r="A25" s="26" t="s">
        <v>232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>
      <c r="A26" s="26" t="s">
        <v>233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>
      <c r="A27" s="26" t="s">
        <v>234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>
      <c r="A28" s="26" t="s">
        <v>235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>
      <c r="A29" s="74" t="s">
        <v>236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>
      <c r="A30" s="74" t="s">
        <v>237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>
      <c r="A31" s="74" t="s">
        <v>238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>
      <c r="A33" s="26" t="s">
        <v>239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>
      <c r="A34" s="26" t="s">
        <v>240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>
      <c r="A35" s="26" t="s">
        <v>241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  <row r="1001">
      <c r="A1001" s="26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</row>
    <row r="1002">
      <c r="A1002" s="26"/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  <c r="Z1002" s="26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8.33"/>
    <col customWidth="1" min="2" max="2" width="47.44"/>
    <col customWidth="1" min="3" max="3" width="42.0"/>
    <col customWidth="1" min="4" max="4" width="9.78"/>
    <col customWidth="1" min="5" max="6" width="10.33"/>
    <col customWidth="1" min="7" max="7" width="14.11"/>
    <col customWidth="1" min="8" max="26" width="10.56"/>
  </cols>
  <sheetData>
    <row r="1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6.5" customHeight="1">
      <c r="A2" s="1" t="s">
        <v>51</v>
      </c>
      <c r="B2" s="1"/>
      <c r="C2" s="2"/>
      <c r="D2" s="2"/>
      <c r="E2" s="17"/>
      <c r="F2" s="1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6.5" customHeight="1">
      <c r="A3" s="1"/>
      <c r="B3" s="24"/>
      <c r="C3" s="2"/>
      <c r="D3" s="2"/>
      <c r="E3" s="2"/>
      <c r="F3" s="1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6.5" customHeight="1">
      <c r="A4" s="1" t="s">
        <v>52</v>
      </c>
      <c r="B4" s="1"/>
      <c r="C4" s="1"/>
      <c r="D4" s="1">
        <f>Summary!E5</f>
        <v>2021</v>
      </c>
      <c r="E4" s="1">
        <f>Summary!G5</f>
        <v>2022</v>
      </c>
      <c r="F4" s="1">
        <f>Summary!I5</f>
        <v>2023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6.5" customHeight="1">
      <c r="A5" s="1"/>
      <c r="B5" s="1"/>
      <c r="C5" s="2"/>
      <c r="D5" s="17"/>
      <c r="E5" s="17"/>
      <c r="F5" s="1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6.5" customHeight="1">
      <c r="A6" s="1" t="s">
        <v>3</v>
      </c>
      <c r="B6" s="1"/>
      <c r="C6" s="2"/>
      <c r="D6" s="12"/>
      <c r="E6" s="12"/>
      <c r="F6" s="12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6.5" customHeight="1">
      <c r="A7" s="1"/>
      <c r="B7" s="1" t="s">
        <v>4</v>
      </c>
      <c r="C7" s="2" t="s">
        <v>5</v>
      </c>
      <c r="D7" s="8">
        <f>SUM('BLENDED 3 Year Monthly Projecti'!D7:O7)</f>
        <v>26668.96919</v>
      </c>
      <c r="E7" s="8">
        <f>SUM('BLENDED 3 Year Monthly Projecti'!P7:AA7)</f>
        <v>108361.4583</v>
      </c>
      <c r="F7" s="8">
        <f>SUM('BLENDED 3 Year Monthly Projecti'!AB7:AM7)</f>
        <v>188066.6667</v>
      </c>
      <c r="G7" s="1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6.5" customHeight="1">
      <c r="A8" s="1"/>
      <c r="B8" s="1" t="s">
        <v>6</v>
      </c>
      <c r="C8" s="2" t="s">
        <v>7</v>
      </c>
      <c r="D8" s="8">
        <f>SUM('BLENDED 3 Year Monthly Projecti'!D8:O8)</f>
        <v>191286.8433</v>
      </c>
      <c r="E8" s="8">
        <f>SUM('BLENDED 3 Year Monthly Projecti'!P8:AA8)</f>
        <v>1155855.556</v>
      </c>
      <c r="F8" s="8">
        <f>SUM('BLENDED 3 Year Monthly Projecti'!AB8:AM8)</f>
        <v>2006044.444</v>
      </c>
      <c r="G8" s="1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7.75" customHeight="1">
      <c r="A9" s="2"/>
      <c r="B9" s="9" t="s">
        <v>8</v>
      </c>
      <c r="C9" s="10" t="s">
        <v>9</v>
      </c>
      <c r="D9" s="8">
        <f>SUM('BLENDED 3 Year Monthly Projecti'!D9:O9)</f>
        <v>37000</v>
      </c>
      <c r="E9" s="8">
        <f>SUM('BLENDED 3 Year Monthly Projecti'!P9:AA9)</f>
        <v>50000</v>
      </c>
      <c r="F9" s="8">
        <f>SUM('BLENDED 3 Year Monthly Projecti'!AB9:AM9)</f>
        <v>58000</v>
      </c>
      <c r="G9" s="2"/>
      <c r="H9" s="15"/>
      <c r="I9" s="25"/>
      <c r="J9" s="26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34.5" customHeight="1">
      <c r="A10" s="2"/>
      <c r="B10" s="1" t="s">
        <v>10</v>
      </c>
      <c r="C10" s="10" t="s">
        <v>11</v>
      </c>
      <c r="D10" s="8">
        <f>SUM('BLENDED 3 Year Monthly Projecti'!D10:O10)</f>
        <v>10000</v>
      </c>
      <c r="E10" s="8">
        <f>SUM('BLENDED 3 Year Monthly Projecti'!P10:AA10)</f>
        <v>44000</v>
      </c>
      <c r="F10" s="8">
        <f>SUM('BLENDED 3 Year Monthly Projecti'!AB10:AM10)</f>
        <v>72000</v>
      </c>
      <c r="G10" s="25"/>
      <c r="H10" s="15"/>
      <c r="I10" s="25"/>
      <c r="J10" s="26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6.5" customHeight="1">
      <c r="A11" s="1"/>
      <c r="B11" s="1" t="s">
        <v>12</v>
      </c>
      <c r="C11" s="2" t="s">
        <v>13</v>
      </c>
      <c r="D11" s="8">
        <f>SUM('BLENDED 3 Year Monthly Projecti'!D11:O11)</f>
        <v>3000</v>
      </c>
      <c r="E11" s="8">
        <f>SUM('BLENDED 3 Year Monthly Projecti'!P11:AA11)</f>
        <v>12000</v>
      </c>
      <c r="F11" s="8">
        <f>SUM('BLENDED 3 Year Monthly Projecti'!AB11:AM11)</f>
        <v>24000</v>
      </c>
      <c r="G11" s="2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6.5" customHeight="1">
      <c r="A12" s="1"/>
      <c r="B12" s="2"/>
      <c r="C12" s="2" t="s">
        <v>53</v>
      </c>
      <c r="D12" s="8">
        <f t="shared" ref="D12:F12" si="1">SUM(D7:D11)</f>
        <v>267955.8124</v>
      </c>
      <c r="E12" s="8">
        <f t="shared" si="1"/>
        <v>1370217.014</v>
      </c>
      <c r="F12" s="8">
        <f t="shared" si="1"/>
        <v>2348111.111</v>
      </c>
      <c r="G12" s="2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6.5" customHeight="1">
      <c r="A13" s="1" t="s">
        <v>15</v>
      </c>
      <c r="B13" s="1"/>
      <c r="C13" s="2"/>
      <c r="D13" s="8"/>
      <c r="E13" s="8"/>
      <c r="F13" s="8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6.5" customHeight="1">
      <c r="A14" s="1"/>
      <c r="B14" s="1" t="s">
        <v>16</v>
      </c>
      <c r="C14" s="2"/>
      <c r="D14" s="12"/>
      <c r="E14" s="12"/>
      <c r="F14" s="1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6.5" customHeight="1">
      <c r="A15" s="1"/>
      <c r="B15" s="1"/>
      <c r="C15" s="2" t="s">
        <v>17</v>
      </c>
      <c r="D15" s="8">
        <f>SUM('BLENDED 3 Year Monthly Projecti'!D15:O15)</f>
        <v>10500</v>
      </c>
      <c r="E15" s="8">
        <f>SUM('BLENDED 3 Year Monthly Projecti'!P15:AA15)</f>
        <v>0</v>
      </c>
      <c r="F15" s="8">
        <f>SUM('BLENDED 3 Year Monthly Projecti'!AB15:AM15)</f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6.5" customHeight="1">
      <c r="A16" s="1"/>
      <c r="B16" s="26"/>
      <c r="C16" s="2" t="s">
        <v>18</v>
      </c>
      <c r="D16" s="8">
        <f>SUM('BLENDED 3 Year Monthly Projecti'!D16:O16)</f>
        <v>27250</v>
      </c>
      <c r="E16" s="8">
        <f>SUM('BLENDED 3 Year Monthly Projecti'!P16:AA16)</f>
        <v>0</v>
      </c>
      <c r="F16" s="8">
        <f>SUM('BLENDED 3 Year Monthly Projecti'!AB16:AM16)</f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6.5" customHeight="1">
      <c r="A17" s="1"/>
      <c r="B17" s="26"/>
      <c r="C17" s="10" t="s">
        <v>19</v>
      </c>
      <c r="D17" s="8">
        <f>SUM('BLENDED 3 Year Monthly Projecti'!D17:O17)</f>
        <v>24000</v>
      </c>
      <c r="E17" s="8">
        <f>SUM('BLENDED 3 Year Monthly Projecti'!P17:AA17)</f>
        <v>18000</v>
      </c>
      <c r="F17" s="8">
        <f>SUM('BLENDED 3 Year Monthly Projecti'!AB17:AM17)</f>
        <v>21000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30.75" customHeight="1">
      <c r="A18" s="1"/>
      <c r="B18" s="26"/>
      <c r="C18" s="13" t="s">
        <v>20</v>
      </c>
      <c r="D18" s="28">
        <f>SUM('BLENDED 3 Year Monthly Projecti'!D18:O18)</f>
        <v>86925</v>
      </c>
      <c r="E18" s="28">
        <f>SUM('BLENDED 3 Year Monthly Projecti'!P18:AA18)</f>
        <v>662001.8346</v>
      </c>
      <c r="F18" s="28">
        <f>SUM('BLENDED 3 Year Monthly Projecti'!AB18:AM18)</f>
        <v>124587.6</v>
      </c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33.75" customHeight="1">
      <c r="A19" s="2"/>
      <c r="B19" s="2"/>
      <c r="C19" s="10" t="s">
        <v>21</v>
      </c>
      <c r="D19" s="28">
        <f>SUM('BLENDED 3 Year Monthly Projecti'!D19:O19)</f>
        <v>3230</v>
      </c>
      <c r="E19" s="28">
        <f>SUM('BLENDED 3 Year Monthly Projecti'!P19:AA19)</f>
        <v>4440</v>
      </c>
      <c r="F19" s="28">
        <f>SUM('BLENDED 3 Year Monthly Projecti'!AB19:AM19)</f>
        <v>4440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6.5" customHeight="1">
      <c r="A20" s="2"/>
      <c r="B20" s="2"/>
      <c r="C20" s="1" t="s">
        <v>22</v>
      </c>
      <c r="D20" s="28">
        <f>SUM('BLENDED 3 Year Monthly Projecti'!D20:O20)</f>
        <v>54</v>
      </c>
      <c r="E20" s="28">
        <f>SUM('BLENDED 3 Year Monthly Projecti'!P20:AA20)</f>
        <v>188.4856318</v>
      </c>
      <c r="F20" s="28">
        <f>SUM('BLENDED 3 Year Monthly Projecti'!AB20:AM20)</f>
        <v>361.088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6.5" customHeight="1">
      <c r="A21" s="2"/>
      <c r="B21" s="2"/>
      <c r="C21" s="1" t="s">
        <v>53</v>
      </c>
      <c r="D21" s="12">
        <f>SUM($D$15:$D$20)</f>
        <v>151959</v>
      </c>
      <c r="E21" s="12">
        <f t="shared" ref="E21:F21" si="2">SUM(E15:E20)</f>
        <v>684630.3202</v>
      </c>
      <c r="F21" s="12">
        <f t="shared" si="2"/>
        <v>150388.688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6.5" customHeight="1">
      <c r="A22" s="1"/>
      <c r="B22" s="1"/>
      <c r="C22" s="2"/>
      <c r="D22" s="8"/>
      <c r="E22" s="8"/>
      <c r="F22" s="8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6.5" customHeight="1">
      <c r="A23" s="1" t="s">
        <v>24</v>
      </c>
      <c r="B23" s="1"/>
      <c r="C23" s="2"/>
      <c r="D23" s="12">
        <f t="shared" ref="D23:F23" si="3">D12-D21</f>
        <v>115996.8124</v>
      </c>
      <c r="E23" s="12">
        <f t="shared" si="3"/>
        <v>685586.6937</v>
      </c>
      <c r="F23" s="12">
        <f t="shared" si="3"/>
        <v>2197722.423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6.5" customHeight="1">
      <c r="A24" s="1"/>
      <c r="B24" s="1"/>
      <c r="C24" s="2"/>
      <c r="D24" s="7">
        <f t="shared" ref="D24:F24" si="4">D23/D12</f>
        <v>0.4328953023</v>
      </c>
      <c r="E24" s="7">
        <f t="shared" si="4"/>
        <v>0.5003489861</v>
      </c>
      <c r="F24" s="7">
        <f t="shared" si="4"/>
        <v>0.935953334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6.5" customHeight="1">
      <c r="A25" s="1" t="s">
        <v>26</v>
      </c>
      <c r="B25" s="1"/>
      <c r="C25" s="2"/>
      <c r="D25" s="8"/>
      <c r="E25" s="8"/>
      <c r="F25" s="8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6.5" customHeight="1">
      <c r="A26" s="1"/>
      <c r="B26" s="1" t="s">
        <v>54</v>
      </c>
      <c r="C26" s="2" t="s">
        <v>53</v>
      </c>
      <c r="D26" s="12">
        <f t="shared" ref="D26:F26" si="5">SUM(D27:D28)</f>
        <v>1000</v>
      </c>
      <c r="E26" s="12">
        <f t="shared" si="5"/>
        <v>56500</v>
      </c>
      <c r="F26" s="12">
        <f t="shared" si="5"/>
        <v>222000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6.5" customHeight="1">
      <c r="A27" s="1"/>
      <c r="B27" s="1"/>
      <c r="C27" s="2" t="s">
        <v>28</v>
      </c>
      <c r="D27" s="8">
        <f>SUM('BLENDED 3 Year Monthly Projecti'!D27:O27)</f>
        <v>0</v>
      </c>
      <c r="E27" s="8">
        <f>SUM('BLENDED 3 Year Monthly Projecti'!P27:AA27)</f>
        <v>55000</v>
      </c>
      <c r="F27" s="8">
        <f>SUM('BLENDED 3 Year Monthly Projecti'!AB27:AM27)</f>
        <v>220000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6.5" customHeight="1">
      <c r="A28" s="1"/>
      <c r="B28" s="1"/>
      <c r="C28" s="2" t="s">
        <v>29</v>
      </c>
      <c r="D28" s="8">
        <f>sum('BLENDED 3 Year Monthly Projecti'!D28:O28)</f>
        <v>1000</v>
      </c>
      <c r="E28" s="8">
        <f>sum('BLENDED 3 Year Monthly Projecti'!P28:AA28)</f>
        <v>1500</v>
      </c>
      <c r="F28" s="8">
        <f>sum('BLENDED 3 Year Monthly Projecti'!AB28:AM28)</f>
        <v>2000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6.5" customHeight="1">
      <c r="A29" s="1"/>
      <c r="B29" s="1"/>
      <c r="C29" s="2"/>
      <c r="D29" s="8"/>
      <c r="E29" s="8"/>
      <c r="F29" s="8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6.5" customHeight="1">
      <c r="A30" s="1"/>
      <c r="B30" s="1" t="s">
        <v>31</v>
      </c>
      <c r="C30" s="2"/>
      <c r="D30" s="12">
        <f t="shared" ref="D30:F30" si="6">D31</f>
        <v>11666.66667</v>
      </c>
      <c r="E30" s="12">
        <f t="shared" si="6"/>
        <v>185000</v>
      </c>
      <c r="F30" s="12">
        <f t="shared" si="6"/>
        <v>230000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6.5" customHeight="1">
      <c r="A31" s="1"/>
      <c r="B31" s="1"/>
      <c r="C31" s="2" t="s">
        <v>28</v>
      </c>
      <c r="D31" s="8">
        <f>SUM('BLENDED 3 Year Monthly Projecti'!D31:O31)</f>
        <v>11666.66667</v>
      </c>
      <c r="E31" s="8">
        <f>SUM('BLENDED 3 Year Monthly Projecti'!P31:AA31)</f>
        <v>185000</v>
      </c>
      <c r="F31" s="8">
        <f>SUM('BLENDED 3 Year Monthly Projecti'!AB31:AM31)</f>
        <v>230000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6.5" customHeight="1">
      <c r="A32" s="1"/>
      <c r="B32" s="1"/>
      <c r="C32" s="2"/>
      <c r="D32" s="8"/>
      <c r="E32" s="8"/>
      <c r="F32" s="8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6.5" customHeight="1">
      <c r="A33" s="1"/>
      <c r="B33" s="1" t="s">
        <v>32</v>
      </c>
      <c r="C33" s="2"/>
      <c r="D33" s="12">
        <f t="shared" ref="D33:F33" si="7">SUM(D34:D35)</f>
        <v>287833.3333</v>
      </c>
      <c r="E33" s="12">
        <f t="shared" si="7"/>
        <v>1066666.667</v>
      </c>
      <c r="F33" s="12">
        <f t="shared" si="7"/>
        <v>1733333.333</v>
      </c>
      <c r="G33" s="2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6.5" customHeight="1">
      <c r="A34" s="1"/>
      <c r="B34" s="1"/>
      <c r="C34" s="2" t="s">
        <v>28</v>
      </c>
      <c r="D34" s="8">
        <f>SUM('BLENDED 3 Year Monthly Projecti'!D35:O36)</f>
        <v>10500</v>
      </c>
      <c r="E34" s="8">
        <f>SUM('BLENDED 3 Year Monthly Projecti'!P35:AA36)</f>
        <v>68000</v>
      </c>
      <c r="F34" s="8">
        <f>SUM('BLENDED 3 Year Monthly Projecti'!AB35:AM36)</f>
        <v>168000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6.5" customHeight="1">
      <c r="A35" s="1"/>
      <c r="B35" s="1"/>
      <c r="C35" s="2" t="s">
        <v>33</v>
      </c>
      <c r="D35" s="8">
        <f>sum('BLENDED 3 Year Monthly Projecti'!D37:O38)</f>
        <v>277333.3333</v>
      </c>
      <c r="E35" s="8">
        <f>sum('BLENDED 3 Year Monthly Projecti'!P37:AA38)</f>
        <v>998666.6667</v>
      </c>
      <c r="F35" s="8">
        <f>sum('BLENDED 3 Year Monthly Projecti'!AB37:AM38)</f>
        <v>1565333.333</v>
      </c>
      <c r="G35" s="1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6.5" customHeight="1">
      <c r="A36" s="1"/>
      <c r="B36" s="1"/>
      <c r="C36" s="2"/>
      <c r="D36" s="8"/>
      <c r="E36" s="8"/>
      <c r="F36" s="8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6.5" customHeight="1">
      <c r="A37" s="1"/>
      <c r="B37" s="1" t="s">
        <v>36</v>
      </c>
      <c r="C37" s="2"/>
      <c r="D37" s="12">
        <f t="shared" ref="D37:F37" si="8">D38</f>
        <v>25000</v>
      </c>
      <c r="E37" s="12">
        <f t="shared" si="8"/>
        <v>100000</v>
      </c>
      <c r="F37" s="12">
        <f t="shared" si="8"/>
        <v>150000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6.5" customHeight="1">
      <c r="A38" s="1"/>
      <c r="B38" s="1"/>
      <c r="C38" s="2" t="s">
        <v>28</v>
      </c>
      <c r="D38" s="8">
        <f>SUM('BLENDED 3 Year Monthly Projecti'!D41:O41)</f>
        <v>25000</v>
      </c>
      <c r="E38" s="8">
        <f>SUM('BLENDED 3 Year Monthly Projecti'!P41:AA41)</f>
        <v>100000</v>
      </c>
      <c r="F38" s="8">
        <f>SUM('BLENDED 3 Year Monthly Projecti'!AB41:AM41)</f>
        <v>150000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6.5" customHeight="1">
      <c r="A39" s="1"/>
      <c r="B39" s="1"/>
      <c r="C39" s="2"/>
      <c r="D39" s="8"/>
      <c r="E39" s="8"/>
      <c r="F39" s="8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6.5" customHeight="1">
      <c r="A40" s="1"/>
      <c r="B40" s="1" t="s">
        <v>55</v>
      </c>
      <c r="C40" s="2"/>
      <c r="D40" s="12">
        <f t="shared" ref="D40:F40" si="9">D41</f>
        <v>120000</v>
      </c>
      <c r="E40" s="12">
        <f t="shared" si="9"/>
        <v>180000</v>
      </c>
      <c r="F40" s="12">
        <f t="shared" si="9"/>
        <v>180000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6.5" customHeight="1">
      <c r="A41" s="1"/>
      <c r="B41" s="1"/>
      <c r="C41" s="2" t="s">
        <v>28</v>
      </c>
      <c r="D41" s="8">
        <f>SUM('BLENDED 3 Year Monthly Projecti'!D44:O44)</f>
        <v>120000</v>
      </c>
      <c r="E41" s="8">
        <f>SUM('BLENDED 3 Year Monthly Projecti'!P44:AA44)</f>
        <v>180000</v>
      </c>
      <c r="F41" s="8">
        <f>SUM('BLENDED 3 Year Monthly Projecti'!AB44:AM44)</f>
        <v>180000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6.5" customHeight="1">
      <c r="A42" s="1"/>
      <c r="B42" s="1"/>
      <c r="C42" s="2"/>
      <c r="D42" s="8"/>
      <c r="E42" s="8"/>
      <c r="F42" s="8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6.5" customHeight="1">
      <c r="A43" s="1"/>
      <c r="B43" s="1" t="s">
        <v>56</v>
      </c>
      <c r="C43" s="2"/>
      <c r="D43" s="12">
        <f t="shared" ref="D43:F43" si="10">SUM(D44:D45)</f>
        <v>46560</v>
      </c>
      <c r="E43" s="12">
        <f t="shared" si="10"/>
        <v>56000</v>
      </c>
      <c r="F43" s="12">
        <f t="shared" si="10"/>
        <v>56000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6.5" customHeight="1">
      <c r="A44" s="1"/>
      <c r="B44" s="1"/>
      <c r="C44" s="2" t="s">
        <v>39</v>
      </c>
      <c r="D44" s="8">
        <f>SUM('BLENDED 3 Year Monthly Projecti'!D47:O47)</f>
        <v>45000</v>
      </c>
      <c r="E44" s="8">
        <f>SUM('BLENDED 3 Year Monthly Projecti'!P47:AA47)</f>
        <v>50000</v>
      </c>
      <c r="F44" s="8">
        <f>SUM('BLENDED 3 Year Monthly Projecti'!AB47:AM47)</f>
        <v>50000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6.5" customHeight="1">
      <c r="A45" s="1"/>
      <c r="B45" s="1"/>
      <c r="C45" s="2" t="s">
        <v>40</v>
      </c>
      <c r="D45" s="8">
        <f>SUM('BLENDED 3 Year Monthly Projecti'!D48:O48)</f>
        <v>1560</v>
      </c>
      <c r="E45" s="8">
        <f>SUM('BLENDED 3 Year Monthly Projecti'!P48:AA48)</f>
        <v>6000</v>
      </c>
      <c r="F45" s="8">
        <f>SUM('BLENDED 3 Year Monthly Projecti'!AB48:AM48)</f>
        <v>6000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6.5" customHeight="1">
      <c r="A46" s="1"/>
      <c r="B46" s="1"/>
      <c r="C46" s="2"/>
      <c r="D46" s="8"/>
      <c r="E46" s="8"/>
      <c r="F46" s="8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6.5" customHeight="1">
      <c r="A47" s="1"/>
      <c r="B47" s="1" t="s">
        <v>57</v>
      </c>
      <c r="C47" s="2"/>
      <c r="D47" s="12">
        <f t="shared" ref="D47:F47" si="11">D48</f>
        <v>24000</v>
      </c>
      <c r="E47" s="12">
        <f t="shared" si="11"/>
        <v>36000</v>
      </c>
      <c r="F47" s="12">
        <f t="shared" si="11"/>
        <v>36000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6.5" customHeight="1">
      <c r="A48" s="1"/>
      <c r="B48" s="1"/>
      <c r="C48" s="2" t="s">
        <v>58</v>
      </c>
      <c r="D48" s="8">
        <f>SUM('BLENDED 3 Year Monthly Projecti'!D51:O51)</f>
        <v>24000</v>
      </c>
      <c r="E48" s="8">
        <f>SUM('BLENDED 3 Year Monthly Projecti'!P51:AA51)</f>
        <v>36000</v>
      </c>
      <c r="F48" s="8">
        <f>SUM('BLENDED 3 Year Monthly Projecti'!AB51:AM51)</f>
        <v>36000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6.5" customHeight="1">
      <c r="A49" s="1"/>
      <c r="B49" s="1"/>
      <c r="C49" s="2"/>
      <c r="D49" s="8"/>
      <c r="E49" s="8"/>
      <c r="F49" s="8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6.5" customHeight="1">
      <c r="A50" s="1"/>
      <c r="B50" s="1" t="s">
        <v>59</v>
      </c>
      <c r="C50" s="2"/>
      <c r="D50" s="12">
        <f t="shared" ref="D50:F50" si="12">D51+D52</f>
        <v>6600</v>
      </c>
      <c r="E50" s="12">
        <f t="shared" si="12"/>
        <v>31200</v>
      </c>
      <c r="F50" s="12">
        <f t="shared" si="12"/>
        <v>31200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6.5" customHeight="1">
      <c r="A51" s="1"/>
      <c r="B51" s="1"/>
      <c r="C51" s="2" t="s">
        <v>60</v>
      </c>
      <c r="D51" s="8">
        <f>SUM('BLENDED 3 Year Monthly Projecti'!D54:O54)</f>
        <v>6000</v>
      </c>
      <c r="E51" s="8">
        <f>SUM('BLENDED 3 Year Monthly Projecti'!P54:AA54)</f>
        <v>30000</v>
      </c>
      <c r="F51" s="8">
        <f>SUM('BLENDED 3 Year Monthly Projecti'!AB54:AM54)</f>
        <v>30000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6.5" customHeight="1">
      <c r="A52" s="1"/>
      <c r="B52" s="1"/>
      <c r="C52" s="2" t="s">
        <v>61</v>
      </c>
      <c r="D52" s="8">
        <f>SUM('BLENDED 3 Year Monthly Projecti'!D55:O55)</f>
        <v>600</v>
      </c>
      <c r="E52" s="8">
        <f>SUM('BLENDED 3 Year Monthly Projecti'!P55:AA55)</f>
        <v>1200</v>
      </c>
      <c r="F52" s="8">
        <f>SUM('BLENDED 3 Year Monthly Projecti'!AB55:AM55)</f>
        <v>1200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6.5" customHeight="1">
      <c r="A53" s="1"/>
      <c r="B53" s="1"/>
      <c r="C53" s="2"/>
      <c r="D53" s="30"/>
      <c r="E53" s="8"/>
      <c r="F53" s="8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6.5" customHeight="1">
      <c r="A54" s="1"/>
      <c r="B54" s="1" t="s">
        <v>62</v>
      </c>
      <c r="C54" s="2"/>
      <c r="D54" s="12">
        <f t="shared" ref="D54:F54" si="13">D55+D56+D57</f>
        <v>526.0266667</v>
      </c>
      <c r="E54" s="12">
        <f t="shared" si="13"/>
        <v>2254.4</v>
      </c>
      <c r="F54" s="12">
        <f t="shared" si="13"/>
        <v>3607.04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6.5" customHeight="1">
      <c r="A55" s="1"/>
      <c r="B55" s="1"/>
      <c r="C55" s="2" t="s">
        <v>42</v>
      </c>
      <c r="D55" s="8">
        <f>SUM('BLENDED 3 Year Monthly Projecti'!D58:O58)</f>
        <v>466.6666667</v>
      </c>
      <c r="E55" s="8">
        <f>SUM('BLENDED 3 Year Monthly Projecti'!P58:AA58)</f>
        <v>2000</v>
      </c>
      <c r="F55" s="8">
        <f>SUM('BLENDED 3 Year Monthly Projecti'!AB58:AM58)</f>
        <v>3200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6.5" customHeight="1">
      <c r="A56" s="1"/>
      <c r="B56" s="1"/>
      <c r="C56" s="2" t="s">
        <v>43</v>
      </c>
      <c r="D56" s="8">
        <f>SUM('BLENDED 3 Year Monthly Projecti'!D59:O59)</f>
        <v>39.2</v>
      </c>
      <c r="E56" s="8">
        <f>SUM('BLENDED 3 Year Monthly Projecti'!P59:AA59)</f>
        <v>168</v>
      </c>
      <c r="F56" s="8">
        <f>SUM('BLENDED 3 Year Monthly Projecti'!AB59:AM59)</f>
        <v>268.8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6.5" customHeight="1">
      <c r="A57" s="1"/>
      <c r="B57" s="1"/>
      <c r="C57" s="2" t="s">
        <v>44</v>
      </c>
      <c r="D57" s="8">
        <f>SUM('BLENDED 3 Year Monthly Projecti'!D60:O60)</f>
        <v>20.16</v>
      </c>
      <c r="E57" s="8">
        <f>SUM('BLENDED 3 Year Monthly Projecti'!P60:AA60)</f>
        <v>86.4</v>
      </c>
      <c r="F57" s="8">
        <f>SUM('BLENDED 3 Year Monthly Projecti'!AB60:AM60)</f>
        <v>138.24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6.5" customHeight="1">
      <c r="A58" s="1"/>
      <c r="B58" s="1"/>
      <c r="C58" s="2"/>
      <c r="D58" s="8"/>
      <c r="E58" s="8"/>
      <c r="F58" s="8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6.5" customHeight="1">
      <c r="A59" s="1" t="s">
        <v>63</v>
      </c>
      <c r="B59" s="1"/>
      <c r="C59" s="2"/>
      <c r="D59" s="12">
        <f t="shared" ref="D59:F59" si="14">D21+D26+D30+D33+D37+D40+D43+D47+D50+D54</f>
        <v>675145.0267</v>
      </c>
      <c r="E59" s="12">
        <f t="shared" si="14"/>
        <v>2398251.387</v>
      </c>
      <c r="F59" s="12">
        <f t="shared" si="14"/>
        <v>2792529.061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6.5" customHeight="1">
      <c r="A60" s="1"/>
      <c r="B60" s="1"/>
      <c r="C60" s="2"/>
      <c r="D60" s="12"/>
      <c r="E60" s="12"/>
      <c r="F60" s="8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6.5" customHeight="1">
      <c r="A61" s="1"/>
      <c r="B61" s="1" t="s">
        <v>64</v>
      </c>
      <c r="C61" s="2"/>
      <c r="D61" s="12">
        <f t="shared" ref="D61:F61" si="15">D12-D59</f>
        <v>-407189.2142</v>
      </c>
      <c r="E61" s="12">
        <f t="shared" si="15"/>
        <v>-1028034.373</v>
      </c>
      <c r="F61" s="12">
        <f t="shared" si="15"/>
        <v>-444417.9502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6.5" customHeight="1">
      <c r="A62" s="2"/>
      <c r="B62" s="2" t="s">
        <v>65</v>
      </c>
      <c r="C62" s="2"/>
      <c r="D62" s="14">
        <f t="shared" ref="D62:F62" si="16">D61/D12</f>
        <v>-1.519613292</v>
      </c>
      <c r="E62" s="14">
        <f t="shared" si="16"/>
        <v>-0.7502712071</v>
      </c>
      <c r="F62" s="14">
        <f t="shared" si="16"/>
        <v>-0.1892661502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6.5" customHeight="1">
      <c r="A63" s="1"/>
      <c r="B63" s="1" t="s">
        <v>66</v>
      </c>
      <c r="C63" s="2"/>
      <c r="D63" s="12">
        <f t="shared" ref="D63:F63" si="17">D59/12</f>
        <v>56262.08556</v>
      </c>
      <c r="E63" s="12">
        <f t="shared" si="17"/>
        <v>199854.2822</v>
      </c>
      <c r="F63" s="12">
        <f t="shared" si="17"/>
        <v>232710.7551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6.5" customHeight="1">
      <c r="A64" s="2"/>
      <c r="B64" s="2"/>
      <c r="C64" s="2"/>
      <c r="D64" s="26"/>
      <c r="E64" s="2"/>
      <c r="F64" s="1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6.5" customHeight="1">
      <c r="A65" s="2"/>
      <c r="B65" s="2"/>
      <c r="C65" s="2"/>
      <c r="D65" s="12"/>
      <c r="E65" s="1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6.5" customHeight="1">
      <c r="A66" s="2"/>
      <c r="B66" s="2"/>
      <c r="C66" s="31"/>
      <c r="D66" s="12"/>
      <c r="E66" s="1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6.5" customHeight="1">
      <c r="A67" s="2"/>
      <c r="B67" s="2"/>
      <c r="C67" s="2"/>
      <c r="D67" s="2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6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6.5" customHeight="1">
      <c r="A70" s="2"/>
      <c r="B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6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6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6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6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6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6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6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6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6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6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6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6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6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6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6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6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6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6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6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6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6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6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6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6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6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6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6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6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6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6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6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6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6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6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6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6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6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6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6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6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6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6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6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6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6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6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6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6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6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6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6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6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6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6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6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6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6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6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6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6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6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6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6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6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6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6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6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6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6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6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6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6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6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6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6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6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6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6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6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6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6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6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6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6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6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6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6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6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6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6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6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6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6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6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6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6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6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6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6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6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6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6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6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6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6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6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6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6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6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6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6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6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6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6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6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6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6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6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6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6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6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6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6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6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6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6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6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6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6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6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6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6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6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6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6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6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6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6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6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6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6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6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6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6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6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6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6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6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6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6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6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6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6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6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6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6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6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6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6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6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6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6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6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6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6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6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6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6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6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6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6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6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6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6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6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6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6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6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6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6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6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6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6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6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6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6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6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6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6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6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6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6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6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6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6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6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6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6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6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6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6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6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6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6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6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6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6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6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6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6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6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6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6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6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6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6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6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6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6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6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6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6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6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6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6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6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6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6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6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6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6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6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6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6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6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6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6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6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6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6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6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6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6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6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6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6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6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6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6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6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6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6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6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6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6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6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6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6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6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6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6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6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6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6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6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6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6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6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6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6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6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6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6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6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6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6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6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6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6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6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6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6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6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6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6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6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6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6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6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6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6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6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6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6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6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6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6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6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6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6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6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6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6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6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6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6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6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6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6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6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6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6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6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6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6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6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6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6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6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6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6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6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6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6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6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6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6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6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6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6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6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6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6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6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6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6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6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6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6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6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6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6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6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6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6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6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6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6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6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6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6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6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6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6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6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6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6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6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6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6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6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6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6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6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6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6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6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6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6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6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6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6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6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6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6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6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6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6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6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6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6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6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6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6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6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6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6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6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6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6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6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6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6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6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6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6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6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6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6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6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6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6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6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6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6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6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6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6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6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6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6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6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6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6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6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6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6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6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6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6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6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6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6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6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6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6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6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6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6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6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6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6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6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6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6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6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6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6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6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6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6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6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6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6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6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6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6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6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6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6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6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6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6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6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6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6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6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6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6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6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6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6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6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6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6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6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6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6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6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6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6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6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6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6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6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6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6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6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6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6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6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6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6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6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6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6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6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6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6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6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6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6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6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6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6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6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6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6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6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6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6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6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6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6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6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6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6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6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6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6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6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6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6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6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6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6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6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6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6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6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6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6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6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6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6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6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6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6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6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6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6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6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6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6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6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6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6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6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6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6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6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6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6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6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6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6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6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6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6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6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6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6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6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6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6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6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6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6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6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6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6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6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6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6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6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6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6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6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6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6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6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6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6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6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6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6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6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6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6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6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6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6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6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6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6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6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6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6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6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6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6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6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6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6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6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6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6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6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6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6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6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6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6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6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6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6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6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6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6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6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6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6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6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6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6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6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6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6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6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6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6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6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6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6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6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6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6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6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6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6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6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6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6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6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6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6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6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6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6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6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6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6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6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6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6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6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6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6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6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6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6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6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6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6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6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6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6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6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6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6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6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6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6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6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6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6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6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6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6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6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6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6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6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6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6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6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6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6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6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6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6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6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6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6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6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6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6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6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6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6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6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6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6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6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6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6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6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6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6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6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6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6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6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6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6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6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6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6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6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6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6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6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6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6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6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6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6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6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6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6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6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6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6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6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6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6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6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6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6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6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6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6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6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6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6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6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6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6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6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6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6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6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6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6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6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6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6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6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6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6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6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6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6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6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6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6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6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6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6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6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6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6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6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6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6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6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6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6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6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6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6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6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6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6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6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6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6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6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6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6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6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6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6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6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6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6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6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6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6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6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6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6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6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6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6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6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6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6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6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6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6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6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6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6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6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6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6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6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6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6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6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6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6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6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6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6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6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6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6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6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6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6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6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6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6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6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6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6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6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6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6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6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6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6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6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6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6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6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6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6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6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6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6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6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6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6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6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6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6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6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6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6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6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6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6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6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6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6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6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6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6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6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6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6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6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6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6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6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6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6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6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6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6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6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6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6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6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6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6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6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6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6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6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6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6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6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6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6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6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6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6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6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6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6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6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6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6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6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6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6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6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6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6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6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6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6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6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6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6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6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6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6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6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6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6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6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6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6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6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6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6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6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6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1.22" defaultRowHeight="15.0"/>
  <cols>
    <col customWidth="1" min="1" max="1" width="21.56"/>
    <col customWidth="1" min="2" max="2" width="19.67"/>
    <col customWidth="1" min="3" max="3" width="37.0"/>
    <col customWidth="1" min="4" max="45" width="10.56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ht="15.75" customHeight="1">
      <c r="A2" s="1" t="s">
        <v>67</v>
      </c>
      <c r="B2" s="1"/>
      <c r="C2" s="2"/>
      <c r="D2" s="2"/>
      <c r="E2" s="17"/>
      <c r="F2" s="1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ht="15.75" customHeight="1">
      <c r="A3" s="1"/>
      <c r="B3" s="24"/>
      <c r="C3" s="2"/>
      <c r="D3" s="2"/>
      <c r="E3" s="2"/>
      <c r="F3" s="1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ht="15.75" customHeight="1">
      <c r="A4" s="1" t="s">
        <v>68</v>
      </c>
      <c r="B4" s="1"/>
      <c r="C4" s="1"/>
      <c r="D4" s="32">
        <v>44197.0</v>
      </c>
      <c r="E4" s="32">
        <v>44228.0</v>
      </c>
      <c r="F4" s="32">
        <v>44256.0</v>
      </c>
      <c r="G4" s="32">
        <v>44287.0</v>
      </c>
      <c r="H4" s="32">
        <v>44317.0</v>
      </c>
      <c r="I4" s="32">
        <v>44348.0</v>
      </c>
      <c r="J4" s="32">
        <v>44378.0</v>
      </c>
      <c r="K4" s="32">
        <v>44409.0</v>
      </c>
      <c r="L4" s="32">
        <v>44440.0</v>
      </c>
      <c r="M4" s="32">
        <v>44470.0</v>
      </c>
      <c r="N4" s="32">
        <v>44501.0</v>
      </c>
      <c r="O4" s="32">
        <v>44531.0</v>
      </c>
      <c r="P4" s="32">
        <v>44562.0</v>
      </c>
      <c r="Q4" s="32">
        <v>44593.0</v>
      </c>
      <c r="R4" s="32">
        <v>44621.0</v>
      </c>
      <c r="S4" s="32">
        <v>44652.0</v>
      </c>
      <c r="T4" s="32">
        <v>44682.0</v>
      </c>
      <c r="U4" s="32">
        <v>44713.0</v>
      </c>
      <c r="V4" s="32">
        <v>44743.0</v>
      </c>
      <c r="W4" s="32">
        <v>44774.0</v>
      </c>
      <c r="X4" s="32">
        <v>44805.0</v>
      </c>
      <c r="Y4" s="32">
        <v>44835.0</v>
      </c>
      <c r="Z4" s="32">
        <v>44866.0</v>
      </c>
      <c r="AA4" s="32">
        <v>44896.0</v>
      </c>
      <c r="AB4" s="32">
        <v>44927.0</v>
      </c>
      <c r="AC4" s="32">
        <v>44958.0</v>
      </c>
      <c r="AD4" s="32">
        <v>44986.0</v>
      </c>
      <c r="AE4" s="32">
        <v>45017.0</v>
      </c>
      <c r="AF4" s="32">
        <v>45047.0</v>
      </c>
      <c r="AG4" s="32">
        <v>45078.0</v>
      </c>
      <c r="AH4" s="32">
        <v>45108.0</v>
      </c>
      <c r="AI4" s="32">
        <v>45139.0</v>
      </c>
      <c r="AJ4" s="32">
        <v>45170.0</v>
      </c>
      <c r="AK4" s="32">
        <v>45200.0</v>
      </c>
      <c r="AL4" s="32">
        <v>45231.0</v>
      </c>
      <c r="AM4" s="32">
        <v>45261.0</v>
      </c>
      <c r="AN4" s="32"/>
      <c r="AO4" s="32"/>
      <c r="AP4" s="32"/>
      <c r="AQ4" s="32"/>
      <c r="AR4" s="32"/>
      <c r="AS4" s="32"/>
    </row>
    <row r="5" ht="15.75" customHeight="1">
      <c r="A5" s="1"/>
      <c r="B5" s="1"/>
      <c r="C5" s="2"/>
      <c r="D5" s="17"/>
      <c r="E5" s="17"/>
      <c r="F5" s="1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ht="15.75" customHeight="1">
      <c r="A6" s="1" t="s">
        <v>3</v>
      </c>
      <c r="B6" s="1"/>
      <c r="C6" s="2"/>
      <c r="D6" s="8">
        <f t="shared" ref="D6:AM6" si="1">SUM(D7:D11)</f>
        <v>1263.42</v>
      </c>
      <c r="E6" s="8">
        <f t="shared" si="1"/>
        <v>937.18</v>
      </c>
      <c r="F6" s="8">
        <f t="shared" si="1"/>
        <v>2193.19</v>
      </c>
      <c r="G6" s="8">
        <f t="shared" si="1"/>
        <v>606.06</v>
      </c>
      <c r="H6" s="8">
        <f t="shared" si="1"/>
        <v>1249.9625</v>
      </c>
      <c r="I6" s="8">
        <f t="shared" si="1"/>
        <v>9249.9625</v>
      </c>
      <c r="J6" s="8">
        <f t="shared" si="1"/>
        <v>11400</v>
      </c>
      <c r="K6" s="8">
        <f t="shared" si="1"/>
        <v>13400</v>
      </c>
      <c r="L6" s="8">
        <f t="shared" si="1"/>
        <v>27945.83333</v>
      </c>
      <c r="M6" s="8">
        <f t="shared" si="1"/>
        <v>62256.22807</v>
      </c>
      <c r="N6" s="8">
        <f t="shared" si="1"/>
        <v>67199.07407</v>
      </c>
      <c r="O6" s="8">
        <f t="shared" si="1"/>
        <v>70254.90196</v>
      </c>
      <c r="P6" s="8">
        <f t="shared" si="1"/>
        <v>68078.125</v>
      </c>
      <c r="Q6" s="8">
        <f t="shared" si="1"/>
        <v>82416.66667</v>
      </c>
      <c r="R6" s="8">
        <f t="shared" si="1"/>
        <v>86416.66667</v>
      </c>
      <c r="S6" s="8">
        <f t="shared" si="1"/>
        <v>88416.66667</v>
      </c>
      <c r="T6" s="8">
        <f t="shared" si="1"/>
        <v>88416.66667</v>
      </c>
      <c r="U6" s="8">
        <f t="shared" si="1"/>
        <v>74416.66667</v>
      </c>
      <c r="V6" s="8">
        <f t="shared" si="1"/>
        <v>74416.66667</v>
      </c>
      <c r="W6" s="8">
        <f t="shared" si="1"/>
        <v>74416.66667</v>
      </c>
      <c r="X6" s="8">
        <f t="shared" si="1"/>
        <v>183305.5556</v>
      </c>
      <c r="Y6" s="8">
        <f t="shared" si="1"/>
        <v>183305.5556</v>
      </c>
      <c r="Z6" s="8">
        <f t="shared" si="1"/>
        <v>183305.5556</v>
      </c>
      <c r="AA6" s="8">
        <f t="shared" si="1"/>
        <v>183305.5556</v>
      </c>
      <c r="AB6" s="8">
        <f t="shared" si="1"/>
        <v>172694.4444</v>
      </c>
      <c r="AC6" s="8">
        <f t="shared" si="1"/>
        <v>172694.4444</v>
      </c>
      <c r="AD6" s="8">
        <f t="shared" si="1"/>
        <v>184694.4444</v>
      </c>
      <c r="AE6" s="8">
        <f t="shared" si="1"/>
        <v>186694.4444</v>
      </c>
      <c r="AF6" s="8">
        <f t="shared" si="1"/>
        <v>188694.4444</v>
      </c>
      <c r="AG6" s="8">
        <f t="shared" si="1"/>
        <v>188694.4444</v>
      </c>
      <c r="AH6" s="8">
        <f t="shared" si="1"/>
        <v>172694.4444</v>
      </c>
      <c r="AI6" s="8">
        <f t="shared" si="1"/>
        <v>172694.4444</v>
      </c>
      <c r="AJ6" s="8">
        <f t="shared" si="1"/>
        <v>227138.8889</v>
      </c>
      <c r="AK6" s="8">
        <f t="shared" si="1"/>
        <v>227138.8889</v>
      </c>
      <c r="AL6" s="8">
        <f t="shared" si="1"/>
        <v>227138.8889</v>
      </c>
      <c r="AM6" s="8">
        <f t="shared" si="1"/>
        <v>227138.8889</v>
      </c>
      <c r="AN6" s="2"/>
      <c r="AO6" s="2"/>
      <c r="AP6" s="2"/>
      <c r="AQ6" s="2"/>
      <c r="AR6" s="2"/>
      <c r="AS6" s="2"/>
    </row>
    <row r="7" ht="15.75" customHeight="1">
      <c r="A7" s="1"/>
      <c r="B7" s="9" t="s">
        <v>4</v>
      </c>
      <c r="C7" s="2" t="s">
        <v>5</v>
      </c>
      <c r="D7" s="8">
        <v>1263.42</v>
      </c>
      <c r="E7" s="33">
        <v>937.18</v>
      </c>
      <c r="F7" s="33">
        <v>2193.19</v>
      </c>
      <c r="G7" s="33">
        <v>606.06</v>
      </c>
      <c r="H7" s="8">
        <f>average(D7:G7)</f>
        <v>1249.9625</v>
      </c>
      <c r="I7" s="8">
        <f>H7</f>
        <v>1249.9625</v>
      </c>
      <c r="J7" s="8">
        <f>((((J38)/'Serviceable Obtainable Market'!$B$31)*'Serviceable Obtainable Market'!$B$25*'Serviceable Obtainable Market'!$B$23)*0.35)</f>
        <v>1400</v>
      </c>
      <c r="K7" s="8">
        <f>(((((K38)/'Serviceable Obtainable Market'!$B$31)*'Serviceable Obtainable Market'!$B$25*'Serviceable Obtainable Market'!$B$23)*0.35))</f>
        <v>1400</v>
      </c>
      <c r="L7" s="8">
        <f>(((((L38*0.3)/'Serviceable Obtainable Market'!$B$31)*'Serviceable Obtainable Market'!$B$25*'Serviceable Obtainable Market'!$B$23)*0.35))</f>
        <v>1452.5</v>
      </c>
      <c r="M7" s="8">
        <f>((((((M38*0.3)/'Serviceable Obtainable Market'!$C$31)*'Serviceable Obtainable Market'!$B$25*'Serviceable Obtainable Market'!$B$23)*0.35))*0.7)</f>
        <v>3649.210526</v>
      </c>
      <c r="N7" s="8">
        <f>((((N38*0.3)/'Serviceable Obtainable Market'!$D$31)*'Serviceable Obtainable Market'!$B$25*'Serviceable Obtainable Market'!$B$23)*0.35)</f>
        <v>5502.777778</v>
      </c>
      <c r="O7" s="8">
        <f>((((O38*0.3)/'Serviceable Obtainable Market'!$E$31)*'Serviceable Obtainable Market'!$B$25*'Serviceable Obtainable Market'!$B$23)*0.35)</f>
        <v>5764.705882</v>
      </c>
      <c r="P7" s="8">
        <f>((((P38*0.3)/'Serviceable Obtainable Market'!$F$31)*'Serviceable Obtainable Market'!$B$25*'Serviceable Obtainable Market'!$B$23)*0.35)</f>
        <v>5578.125</v>
      </c>
      <c r="Q7" s="8">
        <f>((((Q38*0.3)/'Serviceable Obtainable Market'!$B$27)*'Serviceable Obtainable Market'!$B$25*'Serviceable Obtainable Market'!$B$23)*0.35)</f>
        <v>5950</v>
      </c>
      <c r="R7" s="8">
        <f>((((R38*0.3)/'Serviceable Obtainable Market'!$B$27)*'Serviceable Obtainable Market'!$B$25*'Serviceable Obtainable Market'!$B$23)*0.35)</f>
        <v>5950</v>
      </c>
      <c r="S7" s="8">
        <f>((((S38*0.3)/'Serviceable Obtainable Market'!$B$27)*'Serviceable Obtainable Market'!$B$25*'Serviceable Obtainable Market'!$B$23)*0.35)</f>
        <v>5950</v>
      </c>
      <c r="T7" s="8">
        <f>((((T38*0.3)/'Serviceable Obtainable Market'!$B$27)*'Serviceable Obtainable Market'!$B$25*'Serviceable Obtainable Market'!$B$23)*0.35)</f>
        <v>5950</v>
      </c>
      <c r="U7" s="8">
        <f>((((U38*0.3)/'Serviceable Obtainable Market'!$B$27)*'Serviceable Obtainable Market'!$B$25*'Serviceable Obtainable Market'!$B$23)*0.35)</f>
        <v>5950</v>
      </c>
      <c r="V7" s="8">
        <f>((((V38*0.3)/'Serviceable Obtainable Market'!$B$27)*'Serviceable Obtainable Market'!$B$25*'Serviceable Obtainable Market'!$B$23)*0.35)</f>
        <v>5950</v>
      </c>
      <c r="W7" s="8">
        <f>((((W38*0.3)/'Serviceable Obtainable Market'!$B$27)*'Serviceable Obtainable Market'!$B$25*'Serviceable Obtainable Market'!$B$23)*0.35)</f>
        <v>5950</v>
      </c>
      <c r="X7" s="8">
        <f>((((X38*0.3)/'Serviceable Obtainable Market'!$B$27)*'Serviceable Obtainable Market'!$B$25*'Serviceable Obtainable Market'!$B$23)*0.35)</f>
        <v>15283.33333</v>
      </c>
      <c r="Y7" s="8">
        <f>((((Y38*0.3)/'Serviceable Obtainable Market'!$B$27)*'Serviceable Obtainable Market'!$B$25*'Serviceable Obtainable Market'!$B$23)*0.35)</f>
        <v>15283.33333</v>
      </c>
      <c r="Z7" s="8">
        <f>((((Z38*0.3)/'Serviceable Obtainable Market'!$B$27)*'Serviceable Obtainable Market'!$B$25*'Serviceable Obtainable Market'!$B$23)*0.35)</f>
        <v>15283.33333</v>
      </c>
      <c r="AA7" s="8">
        <f>((((AA38*0.3)/'Serviceable Obtainable Market'!$B$27)*'Serviceable Obtainable Market'!$B$25*'Serviceable Obtainable Market'!$B$23)*0.35)</f>
        <v>15283.33333</v>
      </c>
      <c r="AB7" s="8">
        <f>((((AB38*0.3)/'Serviceable Obtainable Market'!$B$27)*'Serviceable Obtainable Market'!$B$25*'Serviceable Obtainable Market'!$B$23)*0.35)</f>
        <v>14116.66667</v>
      </c>
      <c r="AC7" s="8">
        <f>((((AC38*0.3)/'Serviceable Obtainable Market'!$B$27)*'Serviceable Obtainable Market'!$B$25*'Serviceable Obtainable Market'!$B$23)*0.35)</f>
        <v>14116.66667</v>
      </c>
      <c r="AD7" s="8">
        <f>((((AD38*0.3)/'Serviceable Obtainable Market'!$B$27)*'Serviceable Obtainable Market'!$B$25*'Serviceable Obtainable Market'!$B$23)*0.35)</f>
        <v>14116.66667</v>
      </c>
      <c r="AE7" s="8">
        <f>((((AE38*0.3)/'Serviceable Obtainable Market'!$B$27)*'Serviceable Obtainable Market'!$B$25*'Serviceable Obtainable Market'!$B$23)*0.35)</f>
        <v>14116.66667</v>
      </c>
      <c r="AF7" s="8">
        <f>((((AF38*0.3)/'Serviceable Obtainable Market'!$B$27)*'Serviceable Obtainable Market'!$B$25*'Serviceable Obtainable Market'!$B$23)*0.35)</f>
        <v>14116.66667</v>
      </c>
      <c r="AG7" s="8">
        <f>((((AG38*0.3)/'Serviceable Obtainable Market'!$B$27)*'Serviceable Obtainable Market'!$B$25*'Serviceable Obtainable Market'!$B$23)*0.35)</f>
        <v>14116.66667</v>
      </c>
      <c r="AH7" s="8">
        <f>((((AH38*0.3)/'Serviceable Obtainable Market'!$B$27)*'Serviceable Obtainable Market'!$B$25*'Serviceable Obtainable Market'!$B$23)*0.35)</f>
        <v>14116.66667</v>
      </c>
      <c r="AI7" s="8">
        <f>((((AI38*0.3)/'Serviceable Obtainable Market'!$B$27)*'Serviceable Obtainable Market'!$B$25*'Serviceable Obtainable Market'!$B$23)*0.35)</f>
        <v>14116.66667</v>
      </c>
      <c r="AJ7" s="8">
        <f>((((AJ38*0.3)/'Serviceable Obtainable Market'!$B$27)*'Serviceable Obtainable Market'!$B$25*'Serviceable Obtainable Market'!$B$23)*0.35)</f>
        <v>18783.33333</v>
      </c>
      <c r="AK7" s="8">
        <f>((((AK38*0.3)/'Serviceable Obtainable Market'!$B$27)*'Serviceable Obtainable Market'!$B$25*'Serviceable Obtainable Market'!$B$23)*0.35)</f>
        <v>18783.33333</v>
      </c>
      <c r="AL7" s="8">
        <f>((((AL38*0.3)/'Serviceable Obtainable Market'!$B$27)*'Serviceable Obtainable Market'!$B$25*'Serviceable Obtainable Market'!$B$23)*0.35)</f>
        <v>18783.33333</v>
      </c>
      <c r="AM7" s="8">
        <f>((((AM38*0.3)/'Serviceable Obtainable Market'!$B$27)*'Serviceable Obtainable Market'!$B$25*'Serviceable Obtainable Market'!$B$23)*0.35)</f>
        <v>18783.33333</v>
      </c>
      <c r="AN7" s="8"/>
      <c r="AO7" s="2"/>
      <c r="AP7" s="2"/>
      <c r="AQ7" s="2"/>
      <c r="AR7" s="2"/>
      <c r="AS7" s="2"/>
    </row>
    <row r="8" ht="15.75" customHeight="1">
      <c r="A8" s="1"/>
      <c r="B8" s="9" t="s">
        <v>6</v>
      </c>
      <c r="C8" s="2" t="s">
        <v>7</v>
      </c>
      <c r="D8" s="8">
        <v>0.0</v>
      </c>
      <c r="E8" s="8">
        <v>0.0</v>
      </c>
      <c r="F8" s="8">
        <v>0.0</v>
      </c>
      <c r="G8" s="8">
        <v>0.0</v>
      </c>
      <c r="H8" s="8">
        <v>0.0</v>
      </c>
      <c r="I8" s="8">
        <v>0.0</v>
      </c>
      <c r="J8" s="8">
        <v>0.0</v>
      </c>
      <c r="K8" s="8">
        <v>0.0</v>
      </c>
      <c r="L8" s="8">
        <f>(((L38*0.7)/'Serviceable Obtainable Market'!$B$32)*'Serviceable Obtainable Market'!$B$26*'Serviceable Obtainable Market'!$B$24)</f>
        <v>15493.33333</v>
      </c>
      <c r="M8" s="8">
        <f>((((M38*0.7)/'Serviceable Obtainable Market'!$C$32)*'Serviceable Obtainable Market'!$B$26*'Serviceable Obtainable Market'!$B$24))</f>
        <v>55607.01754</v>
      </c>
      <c r="N8" s="8">
        <f>(((N38*0.7)/'Serviceable Obtainable Market'!$D$32)*'Serviceable Obtainable Market'!$B$26*'Serviceable Obtainable Market'!$B$24)</f>
        <v>58696.2963</v>
      </c>
      <c r="O8" s="8">
        <f>(((O38*0.7)/'Serviceable Obtainable Market'!$E$32)*'Serviceable Obtainable Market'!$B$26*'Serviceable Obtainable Market'!$B$24)</f>
        <v>61490.19608</v>
      </c>
      <c r="P8" s="8">
        <f>((P38*0.7)/'Serviceable Obtainable Market'!$F$32)*'Serviceable Obtainable Market'!$B$26*'Serviceable Obtainable Market'!$B$24</f>
        <v>59500</v>
      </c>
      <c r="Q8" s="8">
        <f>((Q38*0.7)/'Serviceable Obtainable Market'!$B$28)*'Serviceable Obtainable Market'!$B$26*'Serviceable Obtainable Market'!$B$24</f>
        <v>63466.66667</v>
      </c>
      <c r="R8" s="8">
        <f>((R38*0.7)/'Serviceable Obtainable Market'!$B$28)*'Serviceable Obtainable Market'!$B$26*'Serviceable Obtainable Market'!$B$24</f>
        <v>63466.66667</v>
      </c>
      <c r="S8" s="8">
        <f>((S38*0.7)/'Serviceable Obtainable Market'!$B$28)*'Serviceable Obtainable Market'!$B$26*'Serviceable Obtainable Market'!$B$24</f>
        <v>63466.66667</v>
      </c>
      <c r="T8" s="8">
        <f>((T38*0.7)/'Serviceable Obtainable Market'!$B$28)*'Serviceable Obtainable Market'!$B$26*'Serviceable Obtainable Market'!$B$24</f>
        <v>63466.66667</v>
      </c>
      <c r="U8" s="8">
        <f>((U38*0.7)/'Serviceable Obtainable Market'!$B$28)*'Serviceable Obtainable Market'!$B$26*'Serviceable Obtainable Market'!$B$24</f>
        <v>63466.66667</v>
      </c>
      <c r="V8" s="8">
        <f>((V38*0.7)/'Serviceable Obtainable Market'!$B$28)*'Serviceable Obtainable Market'!$B$26*'Serviceable Obtainable Market'!$B$24</f>
        <v>63466.66667</v>
      </c>
      <c r="W8" s="8">
        <f>((W38*0.7)/'Serviceable Obtainable Market'!$B$28)*'Serviceable Obtainable Market'!$B$26*'Serviceable Obtainable Market'!$B$24</f>
        <v>63466.66667</v>
      </c>
      <c r="X8" s="8">
        <f>((X38*0.7)/'Serviceable Obtainable Market'!$B$28)*'Serviceable Obtainable Market'!$B$26*'Serviceable Obtainable Market'!$B$24</f>
        <v>163022.2222</v>
      </c>
      <c r="Y8" s="8">
        <f>((Y38*0.7)/'Serviceable Obtainable Market'!$B$28)*'Serviceable Obtainable Market'!$B$26*'Serviceable Obtainable Market'!$B$24</f>
        <v>163022.2222</v>
      </c>
      <c r="Z8" s="8">
        <f>((Z38*0.7)/'Serviceable Obtainable Market'!$B$28)*'Serviceable Obtainable Market'!$B$26*'Serviceable Obtainable Market'!$B$24</f>
        <v>163022.2222</v>
      </c>
      <c r="AA8" s="8">
        <f>((AA38*0.7)/'Serviceable Obtainable Market'!$B$28)*'Serviceable Obtainable Market'!$B$26*'Serviceable Obtainable Market'!$B$24</f>
        <v>163022.2222</v>
      </c>
      <c r="AB8" s="8">
        <f>((AB38*0.7)/'Serviceable Obtainable Market'!$B$28)*'Serviceable Obtainable Market'!$B$26*'Serviceable Obtainable Market'!$B$24</f>
        <v>150577.7778</v>
      </c>
      <c r="AC8" s="8">
        <f>((AC38*0.7)/'Serviceable Obtainable Market'!$B$28)*'Serviceable Obtainable Market'!$B$26*'Serviceable Obtainable Market'!$B$24</f>
        <v>150577.7778</v>
      </c>
      <c r="AD8" s="8">
        <f>((AD38*0.7)/'Serviceable Obtainable Market'!$B$28)*'Serviceable Obtainable Market'!$B$26*'Serviceable Obtainable Market'!$B$24</f>
        <v>150577.7778</v>
      </c>
      <c r="AE8" s="8">
        <f>((AE38*0.7)/'Serviceable Obtainable Market'!$B$28)*'Serviceable Obtainable Market'!$B$26*'Serviceable Obtainable Market'!$B$24</f>
        <v>150577.7778</v>
      </c>
      <c r="AF8" s="8">
        <f>((AF38*0.7)/'Serviceable Obtainable Market'!$B$28)*'Serviceable Obtainable Market'!$B$26*'Serviceable Obtainable Market'!$B$24</f>
        <v>150577.7778</v>
      </c>
      <c r="AG8" s="8">
        <f>((AG38*0.7)/'Serviceable Obtainable Market'!$B$28)*'Serviceable Obtainable Market'!$B$26*'Serviceable Obtainable Market'!$B$24</f>
        <v>150577.7778</v>
      </c>
      <c r="AH8" s="8">
        <f>((AH38*0.7)/'Serviceable Obtainable Market'!$B$28)*'Serviceable Obtainable Market'!$B$26*'Serviceable Obtainable Market'!$B$24</f>
        <v>150577.7778</v>
      </c>
      <c r="AI8" s="8">
        <f>((AI38*0.7)/'Serviceable Obtainable Market'!$B$28)*'Serviceable Obtainable Market'!$B$26*'Serviceable Obtainable Market'!$B$24</f>
        <v>150577.7778</v>
      </c>
      <c r="AJ8" s="8">
        <f>((AJ38*0.7)/'Serviceable Obtainable Market'!$B$28)*'Serviceable Obtainable Market'!$B$26*'Serviceable Obtainable Market'!$B$24</f>
        <v>200355.5556</v>
      </c>
      <c r="AK8" s="8">
        <f>((AK38*0.7)/'Serviceable Obtainable Market'!$B$28)*'Serviceable Obtainable Market'!$B$26*'Serviceable Obtainable Market'!$B$24</f>
        <v>200355.5556</v>
      </c>
      <c r="AL8" s="8">
        <f>((AL38*0.7)/'Serviceable Obtainable Market'!$B$28)*'Serviceable Obtainable Market'!$B$26*'Serviceable Obtainable Market'!$B$24</f>
        <v>200355.5556</v>
      </c>
      <c r="AM8" s="8">
        <f>((AM38*0.7)/'Serviceable Obtainable Market'!$B$28)*'Serviceable Obtainable Market'!$B$26*'Serviceable Obtainable Market'!$B$24</f>
        <v>200355.5556</v>
      </c>
      <c r="AN8" s="2"/>
      <c r="AO8" s="2"/>
      <c r="AP8" s="2"/>
      <c r="AQ8" s="2"/>
      <c r="AR8" s="2"/>
      <c r="AS8" s="2"/>
    </row>
    <row r="9" ht="15.75" customHeight="1">
      <c r="A9" s="1"/>
      <c r="B9" s="9" t="s">
        <v>8</v>
      </c>
      <c r="C9" s="10" t="s">
        <v>9</v>
      </c>
      <c r="D9" s="8">
        <v>0.0</v>
      </c>
      <c r="E9" s="8">
        <v>0.0</v>
      </c>
      <c r="F9" s="8">
        <v>0.0</v>
      </c>
      <c r="G9" s="8">
        <v>0.0</v>
      </c>
      <c r="H9" s="8">
        <v>0.0</v>
      </c>
      <c r="I9" s="8">
        <f>(200*20)+4000</f>
        <v>8000</v>
      </c>
      <c r="J9" s="8">
        <f t="shared" ref="J9:K9" si="2">(200*20)+6000</f>
        <v>10000</v>
      </c>
      <c r="K9" s="8">
        <f t="shared" si="2"/>
        <v>10000</v>
      </c>
      <c r="L9" s="8">
        <f>(200*20)+5000</f>
        <v>9000</v>
      </c>
      <c r="M9" s="8">
        <v>0.0</v>
      </c>
      <c r="N9" s="8">
        <v>0.0</v>
      </c>
      <c r="O9" s="8">
        <v>0.0</v>
      </c>
      <c r="P9" s="8">
        <v>0.0</v>
      </c>
      <c r="Q9" s="8">
        <f>(200*20)+6000</f>
        <v>10000</v>
      </c>
      <c r="R9" s="8">
        <f>(200*20)+8000</f>
        <v>12000</v>
      </c>
      <c r="S9" s="8">
        <f t="shared" ref="S9:T9" si="3">(200*20)+10000</f>
        <v>14000</v>
      </c>
      <c r="T9" s="8">
        <f t="shared" si="3"/>
        <v>14000</v>
      </c>
      <c r="U9" s="8">
        <v>0.0</v>
      </c>
      <c r="V9" s="8">
        <v>0.0</v>
      </c>
      <c r="W9" s="8">
        <v>0.0</v>
      </c>
      <c r="X9" s="8">
        <v>0.0</v>
      </c>
      <c r="Y9" s="8">
        <v>0.0</v>
      </c>
      <c r="Z9" s="8">
        <v>0.0</v>
      </c>
      <c r="AA9" s="8">
        <v>0.0</v>
      </c>
      <c r="AB9" s="8">
        <v>0.0</v>
      </c>
      <c r="AC9" s="8">
        <v>0.0</v>
      </c>
      <c r="AD9" s="8">
        <f>(200*20)+8000</f>
        <v>12000</v>
      </c>
      <c r="AE9" s="8">
        <f>(200*20)+10000</f>
        <v>14000</v>
      </c>
      <c r="AF9" s="8">
        <f t="shared" ref="AF9:AG9" si="4">(200*20)+12000</f>
        <v>16000</v>
      </c>
      <c r="AG9" s="8">
        <f t="shared" si="4"/>
        <v>16000</v>
      </c>
      <c r="AH9" s="8">
        <v>0.0</v>
      </c>
      <c r="AI9" s="8">
        <v>0.0</v>
      </c>
      <c r="AJ9" s="8">
        <v>0.0</v>
      </c>
      <c r="AK9" s="8">
        <v>0.0</v>
      </c>
      <c r="AL9" s="8">
        <v>0.0</v>
      </c>
      <c r="AM9" s="8">
        <v>0.0</v>
      </c>
      <c r="AN9" s="2"/>
      <c r="AO9" s="2"/>
      <c r="AP9" s="2"/>
      <c r="AQ9" s="2"/>
      <c r="AR9" s="2"/>
      <c r="AS9" s="2"/>
    </row>
    <row r="10" ht="15.75" customHeight="1">
      <c r="A10" s="1"/>
      <c r="B10" s="9" t="s">
        <v>10</v>
      </c>
      <c r="C10" s="10" t="s">
        <v>69</v>
      </c>
      <c r="D10" s="8">
        <v>0.0</v>
      </c>
      <c r="E10" s="8">
        <v>0.0</v>
      </c>
      <c r="F10" s="8">
        <v>0.0</v>
      </c>
      <c r="G10" s="8">
        <v>0.0</v>
      </c>
      <c r="H10" s="8">
        <v>0.0</v>
      </c>
      <c r="I10" s="8">
        <v>0.0</v>
      </c>
      <c r="J10" s="8">
        <v>0.0</v>
      </c>
      <c r="K10" s="8">
        <v>2000.0</v>
      </c>
      <c r="L10" s="8">
        <v>2000.0</v>
      </c>
      <c r="M10" s="8">
        <v>2000.0</v>
      </c>
      <c r="N10" s="8">
        <v>2000.0</v>
      </c>
      <c r="O10" s="8">
        <v>2000.0</v>
      </c>
      <c r="P10" s="8">
        <v>2000.0</v>
      </c>
      <c r="Q10" s="8">
        <v>2000.0</v>
      </c>
      <c r="R10" s="8">
        <v>4000.0</v>
      </c>
      <c r="S10" s="8">
        <v>4000.0</v>
      </c>
      <c r="T10" s="8">
        <v>4000.0</v>
      </c>
      <c r="U10" s="8">
        <v>4000.0</v>
      </c>
      <c r="V10" s="8">
        <v>4000.0</v>
      </c>
      <c r="W10" s="8">
        <v>4000.0</v>
      </c>
      <c r="X10" s="8">
        <v>4000.0</v>
      </c>
      <c r="Y10" s="8">
        <v>4000.0</v>
      </c>
      <c r="Z10" s="8">
        <v>4000.0</v>
      </c>
      <c r="AA10" s="8">
        <v>4000.0</v>
      </c>
      <c r="AB10" s="8">
        <v>6000.0</v>
      </c>
      <c r="AC10" s="8">
        <v>6000.0</v>
      </c>
      <c r="AD10" s="8">
        <v>6000.0</v>
      </c>
      <c r="AE10" s="8">
        <v>6000.0</v>
      </c>
      <c r="AF10" s="8">
        <v>6000.0</v>
      </c>
      <c r="AG10" s="8">
        <v>6000.0</v>
      </c>
      <c r="AH10" s="8">
        <v>6000.0</v>
      </c>
      <c r="AI10" s="8">
        <v>6000.0</v>
      </c>
      <c r="AJ10" s="8">
        <v>6000.0</v>
      </c>
      <c r="AK10" s="8">
        <v>6000.0</v>
      </c>
      <c r="AL10" s="8">
        <v>6000.0</v>
      </c>
      <c r="AM10" s="8">
        <v>6000.0</v>
      </c>
      <c r="AN10" s="2"/>
      <c r="AO10" s="2"/>
      <c r="AP10" s="2"/>
      <c r="AQ10" s="2"/>
      <c r="AR10" s="2"/>
      <c r="AS10" s="2"/>
    </row>
    <row r="11" ht="15.75" customHeight="1">
      <c r="A11" s="1"/>
      <c r="B11" s="9" t="s">
        <v>12</v>
      </c>
      <c r="C11" s="2" t="s">
        <v>13</v>
      </c>
      <c r="D11" s="8">
        <v>0.0</v>
      </c>
      <c r="E11" s="8">
        <v>0.0</v>
      </c>
      <c r="F11" s="8">
        <v>0.0</v>
      </c>
      <c r="G11" s="8">
        <v>0.0</v>
      </c>
      <c r="H11" s="8">
        <v>0.0</v>
      </c>
      <c r="I11" s="8">
        <v>0.0</v>
      </c>
      <c r="J11" s="8">
        <v>0.0</v>
      </c>
      <c r="K11" s="8">
        <v>0.0</v>
      </c>
      <c r="L11" s="8">
        <v>0.0</v>
      </c>
      <c r="M11" s="8">
        <v>1000.0</v>
      </c>
      <c r="N11" s="8">
        <v>1000.0</v>
      </c>
      <c r="O11" s="8">
        <v>1000.0</v>
      </c>
      <c r="P11" s="8">
        <v>1000.0</v>
      </c>
      <c r="Q11" s="8">
        <v>1000.0</v>
      </c>
      <c r="R11" s="8">
        <v>1000.0</v>
      </c>
      <c r="S11" s="8">
        <v>1000.0</v>
      </c>
      <c r="T11" s="8">
        <v>1000.0</v>
      </c>
      <c r="U11" s="8">
        <v>1000.0</v>
      </c>
      <c r="V11" s="8">
        <v>1000.0</v>
      </c>
      <c r="W11" s="8">
        <v>1000.0</v>
      </c>
      <c r="X11" s="8">
        <v>1000.0</v>
      </c>
      <c r="Y11" s="8">
        <v>1000.0</v>
      </c>
      <c r="Z11" s="8">
        <v>1000.0</v>
      </c>
      <c r="AA11" s="8">
        <v>1000.0</v>
      </c>
      <c r="AB11" s="8">
        <v>2000.0</v>
      </c>
      <c r="AC11" s="8">
        <v>2000.0</v>
      </c>
      <c r="AD11" s="8">
        <v>2000.0</v>
      </c>
      <c r="AE11" s="8">
        <v>2000.0</v>
      </c>
      <c r="AF11" s="8">
        <v>2000.0</v>
      </c>
      <c r="AG11" s="8">
        <v>2000.0</v>
      </c>
      <c r="AH11" s="8">
        <v>2000.0</v>
      </c>
      <c r="AI11" s="8">
        <v>2000.0</v>
      </c>
      <c r="AJ11" s="8">
        <v>2000.0</v>
      </c>
      <c r="AK11" s="8">
        <v>2000.0</v>
      </c>
      <c r="AL11" s="8">
        <v>2000.0</v>
      </c>
      <c r="AM11" s="8">
        <v>2000.0</v>
      </c>
      <c r="AN11" s="2"/>
      <c r="AO11" s="2"/>
      <c r="AP11" s="2"/>
      <c r="AQ11" s="2"/>
      <c r="AR11" s="2"/>
      <c r="AS11" s="2"/>
    </row>
    <row r="12" ht="15.75" customHeight="1">
      <c r="A12" s="1"/>
      <c r="B12" s="2"/>
      <c r="C12" s="2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2"/>
      <c r="AO12" s="2"/>
      <c r="AP12" s="2"/>
      <c r="AQ12" s="2"/>
      <c r="AR12" s="2"/>
      <c r="AS12" s="2"/>
    </row>
    <row r="13" ht="15.75" customHeight="1">
      <c r="A13" s="1" t="s">
        <v>15</v>
      </c>
      <c r="B13" s="1"/>
      <c r="C13" s="2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2"/>
      <c r="AO13" s="2"/>
      <c r="AP13" s="2"/>
      <c r="AQ13" s="2"/>
      <c r="AR13" s="2"/>
      <c r="AS13" s="2"/>
    </row>
    <row r="14" ht="15.75" customHeight="1">
      <c r="A14" s="1"/>
      <c r="B14" s="1" t="s">
        <v>16</v>
      </c>
      <c r="C14" s="2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2"/>
      <c r="AO14" s="2"/>
      <c r="AP14" s="2"/>
      <c r="AQ14" s="2"/>
      <c r="AR14" s="2"/>
      <c r="AS14" s="2"/>
    </row>
    <row r="15" ht="15.75" customHeight="1">
      <c r="A15" s="1"/>
      <c r="B15" s="1"/>
      <c r="C15" s="2" t="s">
        <v>17</v>
      </c>
      <c r="D15" s="8">
        <v>0.0</v>
      </c>
      <c r="E15" s="8">
        <v>0.0</v>
      </c>
      <c r="F15" s="8">
        <v>0.0</v>
      </c>
      <c r="G15" s="8">
        <v>5250.0</v>
      </c>
      <c r="H15" s="8">
        <v>5250.0</v>
      </c>
      <c r="I15" s="8">
        <v>0.0</v>
      </c>
      <c r="J15" s="8">
        <v>0.0</v>
      </c>
      <c r="K15" s="8">
        <v>0.0</v>
      </c>
      <c r="L15" s="8">
        <v>0.0</v>
      </c>
      <c r="M15" s="8">
        <v>0.0</v>
      </c>
      <c r="N15" s="8">
        <v>0.0</v>
      </c>
      <c r="O15" s="8">
        <v>0.0</v>
      </c>
      <c r="P15" s="8">
        <v>0.0</v>
      </c>
      <c r="Q15" s="8">
        <v>0.0</v>
      </c>
      <c r="R15" s="8">
        <v>0.0</v>
      </c>
      <c r="S15" s="8">
        <v>0.0</v>
      </c>
      <c r="T15" s="8">
        <v>0.0</v>
      </c>
      <c r="U15" s="8">
        <v>0.0</v>
      </c>
      <c r="V15" s="8">
        <v>0.0</v>
      </c>
      <c r="W15" s="8">
        <v>0.0</v>
      </c>
      <c r="X15" s="8">
        <v>0.0</v>
      </c>
      <c r="Y15" s="8">
        <v>0.0</v>
      </c>
      <c r="Z15" s="8">
        <v>0.0</v>
      </c>
      <c r="AA15" s="8">
        <v>0.0</v>
      </c>
      <c r="AB15" s="8">
        <v>0.0</v>
      </c>
      <c r="AC15" s="8">
        <v>0.0</v>
      </c>
      <c r="AD15" s="8">
        <v>0.0</v>
      </c>
      <c r="AE15" s="8">
        <v>0.0</v>
      </c>
      <c r="AF15" s="8">
        <v>0.0</v>
      </c>
      <c r="AG15" s="8">
        <v>0.0</v>
      </c>
      <c r="AH15" s="8">
        <v>0.0</v>
      </c>
      <c r="AI15" s="8">
        <v>0.0</v>
      </c>
      <c r="AJ15" s="8">
        <v>0.0</v>
      </c>
      <c r="AK15" s="8">
        <v>0.0</v>
      </c>
      <c r="AL15" s="8">
        <v>0.0</v>
      </c>
      <c r="AM15" s="8">
        <v>0.0</v>
      </c>
      <c r="AN15" s="2"/>
      <c r="AO15" s="2"/>
      <c r="AP15" s="2"/>
      <c r="AQ15" s="2"/>
      <c r="AR15" s="2"/>
      <c r="AS15" s="2"/>
    </row>
    <row r="16" ht="15.75" customHeight="1">
      <c r="A16" s="1"/>
      <c r="B16" s="2"/>
      <c r="C16" s="2" t="s">
        <v>18</v>
      </c>
      <c r="D16" s="8">
        <v>0.0</v>
      </c>
      <c r="E16" s="8">
        <v>0.0</v>
      </c>
      <c r="F16" s="8">
        <v>0.0</v>
      </c>
      <c r="G16" s="8">
        <v>5500.0</v>
      </c>
      <c r="H16" s="8">
        <v>0.0</v>
      </c>
      <c r="I16" s="8">
        <v>5500.0</v>
      </c>
      <c r="J16" s="8">
        <v>13625.0</v>
      </c>
      <c r="K16" s="8">
        <v>2625.0</v>
      </c>
      <c r="L16" s="8">
        <v>0.0</v>
      </c>
      <c r="M16" s="8">
        <v>0.0</v>
      </c>
      <c r="N16" s="8">
        <v>0.0</v>
      </c>
      <c r="O16" s="8">
        <v>0.0</v>
      </c>
      <c r="P16" s="8">
        <v>0.0</v>
      </c>
      <c r="Q16" s="8">
        <v>0.0</v>
      </c>
      <c r="R16" s="8">
        <v>0.0</v>
      </c>
      <c r="S16" s="8">
        <v>0.0</v>
      </c>
      <c r="T16" s="8">
        <v>0.0</v>
      </c>
      <c r="U16" s="8">
        <v>0.0</v>
      </c>
      <c r="V16" s="8">
        <v>0.0</v>
      </c>
      <c r="W16" s="8">
        <v>0.0</v>
      </c>
      <c r="X16" s="8">
        <v>0.0</v>
      </c>
      <c r="Y16" s="8">
        <v>0.0</v>
      </c>
      <c r="Z16" s="8">
        <v>0.0</v>
      </c>
      <c r="AA16" s="8">
        <v>0.0</v>
      </c>
      <c r="AB16" s="8">
        <v>0.0</v>
      </c>
      <c r="AC16" s="8">
        <v>0.0</v>
      </c>
      <c r="AD16" s="8">
        <v>0.0</v>
      </c>
      <c r="AE16" s="8">
        <v>0.0</v>
      </c>
      <c r="AF16" s="8">
        <v>0.0</v>
      </c>
      <c r="AG16" s="8">
        <v>0.0</v>
      </c>
      <c r="AH16" s="8">
        <v>0.0</v>
      </c>
      <c r="AI16" s="8">
        <v>0.0</v>
      </c>
      <c r="AJ16" s="8">
        <v>0.0</v>
      </c>
      <c r="AK16" s="8">
        <v>0.0</v>
      </c>
      <c r="AL16" s="8">
        <v>0.0</v>
      </c>
      <c r="AM16" s="8">
        <v>0.0</v>
      </c>
      <c r="AN16" s="2"/>
      <c r="AO16" s="2"/>
      <c r="AP16" s="2"/>
      <c r="AQ16" s="2"/>
      <c r="AR16" s="2"/>
      <c r="AS16" s="2"/>
    </row>
    <row r="17" ht="15.75" customHeight="1">
      <c r="A17" s="1"/>
      <c r="B17" s="2"/>
      <c r="C17" s="10" t="s">
        <v>19</v>
      </c>
      <c r="D17" s="8">
        <f>'Monthly Budget'!D3</f>
        <v>3000</v>
      </c>
      <c r="E17" s="8">
        <f>'Monthly Budget'!$D$3</f>
        <v>3000</v>
      </c>
      <c r="F17" s="8">
        <f>'Monthly Budget'!$D$3</f>
        <v>3000</v>
      </c>
      <c r="G17" s="8">
        <f>'Monthly Budget'!$D$3</f>
        <v>3000</v>
      </c>
      <c r="H17" s="8">
        <f>'Monthly Budget'!$D$3</f>
        <v>3000</v>
      </c>
      <c r="I17" s="8">
        <v>0.0</v>
      </c>
      <c r="J17" s="8">
        <v>0.0</v>
      </c>
      <c r="K17" s="8">
        <v>0.0</v>
      </c>
      <c r="L17" s="8">
        <v>0.0</v>
      </c>
      <c r="M17" s="8">
        <f>'Monthly Budget'!$D$3</f>
        <v>3000</v>
      </c>
      <c r="N17" s="8">
        <f>'Monthly Budget'!$D$3</f>
        <v>3000</v>
      </c>
      <c r="O17" s="8">
        <f>'Monthly Budget'!$D$3</f>
        <v>3000</v>
      </c>
      <c r="P17" s="8">
        <f>'Monthly Budget'!$D$3</f>
        <v>3000</v>
      </c>
      <c r="Q17" s="8">
        <v>0.0</v>
      </c>
      <c r="R17" s="8">
        <v>0.0</v>
      </c>
      <c r="S17" s="8">
        <v>0.0</v>
      </c>
      <c r="T17" s="8">
        <f>'Monthly Budget'!$D$3</f>
        <v>3000</v>
      </c>
      <c r="U17" s="8">
        <f>'Monthly Budget'!$D$3</f>
        <v>3000</v>
      </c>
      <c r="V17" s="8">
        <f>'Monthly Budget'!$D$3</f>
        <v>3000</v>
      </c>
      <c r="W17" s="8">
        <f>'Monthly Budget'!$D$3</f>
        <v>3000</v>
      </c>
      <c r="X17" s="8">
        <v>0.0</v>
      </c>
      <c r="Y17" s="8">
        <v>0.0</v>
      </c>
      <c r="Z17" s="8">
        <v>0.0</v>
      </c>
      <c r="AA17" s="8">
        <f>'Monthly Budget'!$D$3</f>
        <v>3000</v>
      </c>
      <c r="AB17" s="8">
        <f>'Monthly Budget'!$D$3</f>
        <v>3000</v>
      </c>
      <c r="AC17" s="8">
        <f>'Monthly Budget'!$D$3</f>
        <v>3000</v>
      </c>
      <c r="AD17" s="8">
        <f>'Monthly Budget'!$D$3</f>
        <v>3000</v>
      </c>
      <c r="AE17" s="8">
        <v>0.0</v>
      </c>
      <c r="AF17" s="8">
        <v>0.0</v>
      </c>
      <c r="AG17" s="8">
        <v>0.0</v>
      </c>
      <c r="AH17" s="8">
        <v>0.0</v>
      </c>
      <c r="AI17" s="8">
        <v>3000.0</v>
      </c>
      <c r="AJ17" s="8">
        <v>3000.0</v>
      </c>
      <c r="AK17" s="8">
        <v>3000.0</v>
      </c>
      <c r="AL17" s="8">
        <v>3000.0</v>
      </c>
      <c r="AM17" s="8">
        <v>0.0</v>
      </c>
      <c r="AN17" s="2"/>
      <c r="AO17" s="2"/>
      <c r="AP17" s="2"/>
      <c r="AQ17" s="2"/>
      <c r="AR17" s="2"/>
      <c r="AS17" s="2"/>
    </row>
    <row r="18" ht="15.75" customHeight="1">
      <c r="A18" s="1"/>
      <c r="B18" s="2"/>
      <c r="C18" s="13" t="s">
        <v>20</v>
      </c>
      <c r="D18" s="8">
        <v>0.0</v>
      </c>
      <c r="E18" s="8">
        <v>0.0</v>
      </c>
      <c r="F18" s="8">
        <v>0.0</v>
      </c>
      <c r="G18" s="8">
        <v>0.0</v>
      </c>
      <c r="H18" s="8">
        <f>'Prime Labs Estimated Cost'!K6*0.5</f>
        <v>43462.5</v>
      </c>
      <c r="I18" s="8">
        <f>'Prime Labs Estimated Cost'!$K$6*0.5</f>
        <v>43462.5</v>
      </c>
      <c r="J18" s="8">
        <v>0.0</v>
      </c>
      <c r="K18" s="8">
        <v>0.0</v>
      </c>
      <c r="L18" s="8">
        <v>0.0</v>
      </c>
      <c r="M18" s="8">
        <v>0.0</v>
      </c>
      <c r="N18" s="8">
        <v>0.0</v>
      </c>
      <c r="O18" s="8">
        <v>0.0</v>
      </c>
      <c r="P18" s="8">
        <v>0.0</v>
      </c>
      <c r="Q18" s="8">
        <v>0.0</v>
      </c>
      <c r="R18" s="8">
        <f>'Prime Labs Estimated Cost'!C22/2</f>
        <v>144119.5173</v>
      </c>
      <c r="S18" s="8">
        <f>'Prime Labs Estimated Cost'!C22/2</f>
        <v>144119.5173</v>
      </c>
      <c r="T18" s="8">
        <v>0.0</v>
      </c>
      <c r="U18" s="8">
        <v>0.0</v>
      </c>
      <c r="V18" s="8">
        <v>0.0</v>
      </c>
      <c r="W18" s="8">
        <v>0.0</v>
      </c>
      <c r="X18" s="8">
        <v>0.0</v>
      </c>
      <c r="Y18" s="8">
        <f>'Prime Labs Estimated Cost'!$D$22/4</f>
        <v>124587.6</v>
      </c>
      <c r="Z18" s="8">
        <f>'Prime Labs Estimated Cost'!$D$22/4</f>
        <v>124587.6</v>
      </c>
      <c r="AA18" s="8">
        <f>'Prime Labs Estimated Cost'!$D$22/4</f>
        <v>124587.6</v>
      </c>
      <c r="AB18" s="8">
        <f>'Prime Labs Estimated Cost'!$D$22/4</f>
        <v>124587.6</v>
      </c>
      <c r="AC18" s="8">
        <v>0.0</v>
      </c>
      <c r="AD18" s="8">
        <v>0.0</v>
      </c>
      <c r="AE18" s="8">
        <v>0.0</v>
      </c>
      <c r="AF18" s="8">
        <v>0.0</v>
      </c>
      <c r="AG18" s="8">
        <v>0.0</v>
      </c>
      <c r="AH18" s="8">
        <v>0.0</v>
      </c>
      <c r="AI18" s="8">
        <v>0.0</v>
      </c>
      <c r="AJ18" s="8">
        <v>0.0</v>
      </c>
      <c r="AK18" s="8">
        <v>0.0</v>
      </c>
      <c r="AL18" s="8">
        <v>0.0</v>
      </c>
      <c r="AM18" s="8">
        <v>0.0</v>
      </c>
      <c r="AN18" s="2"/>
      <c r="AO18" s="2"/>
      <c r="AP18" s="2"/>
      <c r="AQ18" s="2"/>
      <c r="AR18" s="2"/>
      <c r="AS18" s="2"/>
    </row>
    <row r="19" ht="15.75" customHeight="1">
      <c r="A19" s="1"/>
      <c r="B19" s="2"/>
      <c r="C19" s="10" t="s">
        <v>21</v>
      </c>
      <c r="D19" s="8">
        <v>128.0</v>
      </c>
      <c r="E19" s="8">
        <v>128.0</v>
      </c>
      <c r="F19" s="8">
        <v>128.0</v>
      </c>
      <c r="G19" s="8">
        <v>128.0</v>
      </c>
      <c r="H19" s="8">
        <v>128.0</v>
      </c>
      <c r="I19" s="8">
        <v>370.0</v>
      </c>
      <c r="J19" s="8">
        <v>370.0</v>
      </c>
      <c r="K19" s="8">
        <v>370.0</v>
      </c>
      <c r="L19" s="8">
        <v>370.0</v>
      </c>
      <c r="M19" s="8">
        <v>370.0</v>
      </c>
      <c r="N19" s="8">
        <v>370.0</v>
      </c>
      <c r="O19" s="8">
        <v>370.0</v>
      </c>
      <c r="P19" s="8">
        <v>370.0</v>
      </c>
      <c r="Q19" s="8">
        <v>370.0</v>
      </c>
      <c r="R19" s="8">
        <v>370.0</v>
      </c>
      <c r="S19" s="8">
        <v>370.0</v>
      </c>
      <c r="T19" s="8">
        <v>370.0</v>
      </c>
      <c r="U19" s="8">
        <v>370.0</v>
      </c>
      <c r="V19" s="8">
        <v>370.0</v>
      </c>
      <c r="W19" s="8">
        <v>370.0</v>
      </c>
      <c r="X19" s="8">
        <v>370.0</v>
      </c>
      <c r="Y19" s="8">
        <v>370.0</v>
      </c>
      <c r="Z19" s="8">
        <v>370.0</v>
      </c>
      <c r="AA19" s="8">
        <v>370.0</v>
      </c>
      <c r="AB19" s="8">
        <v>370.0</v>
      </c>
      <c r="AC19" s="8">
        <v>370.0</v>
      </c>
      <c r="AD19" s="8">
        <v>370.0</v>
      </c>
      <c r="AE19" s="8">
        <v>370.0</v>
      </c>
      <c r="AF19" s="8">
        <v>370.0</v>
      </c>
      <c r="AG19" s="8">
        <v>370.0</v>
      </c>
      <c r="AH19" s="8">
        <v>370.0</v>
      </c>
      <c r="AI19" s="8">
        <v>370.0</v>
      </c>
      <c r="AJ19" s="8">
        <v>370.0</v>
      </c>
      <c r="AK19" s="8">
        <v>370.0</v>
      </c>
      <c r="AL19" s="8">
        <v>370.0</v>
      </c>
      <c r="AM19" s="8">
        <v>370.0</v>
      </c>
      <c r="AN19" s="2"/>
      <c r="AO19" s="2"/>
      <c r="AP19" s="2"/>
      <c r="AQ19" s="2"/>
      <c r="AR19" s="2"/>
      <c r="AS19" s="2"/>
    </row>
    <row r="20" ht="15.75" customHeight="1">
      <c r="A20" s="2"/>
      <c r="B20" s="2"/>
      <c r="C20" s="1" t="s">
        <v>70</v>
      </c>
      <c r="D20" s="8">
        <v>0.0</v>
      </c>
      <c r="E20" s="8">
        <v>0.0</v>
      </c>
      <c r="F20" s="8">
        <v>0.0</v>
      </c>
      <c r="G20" s="8">
        <v>0.0</v>
      </c>
      <c r="H20" s="8">
        <v>0.0</v>
      </c>
      <c r="I20" s="8">
        <v>0.0</v>
      </c>
      <c r="J20" s="8">
        <v>0.0</v>
      </c>
      <c r="K20" s="8">
        <f>'Prime Labs Estimated Cost'!$B$28/5</f>
        <v>10.8</v>
      </c>
      <c r="L20" s="8">
        <f>'Prime Labs Estimated Cost'!$B$28/5</f>
        <v>10.8</v>
      </c>
      <c r="M20" s="8">
        <f>'Prime Labs Estimated Cost'!$B$28/5</f>
        <v>10.8</v>
      </c>
      <c r="N20" s="8">
        <f>'Prime Labs Estimated Cost'!$B$28/5</f>
        <v>10.8</v>
      </c>
      <c r="O20" s="8">
        <f>'Prime Labs Estimated Cost'!$B$28/5</f>
        <v>10.8</v>
      </c>
      <c r="P20" s="8">
        <f>'Prime Labs Estimated Cost'!$C$28/12</f>
        <v>15.70713598</v>
      </c>
      <c r="Q20" s="8">
        <f>'Prime Labs Estimated Cost'!$C$28/12</f>
        <v>15.70713598</v>
      </c>
      <c r="R20" s="8">
        <f>'Prime Labs Estimated Cost'!$C$28/12</f>
        <v>15.70713598</v>
      </c>
      <c r="S20" s="8">
        <f>'Prime Labs Estimated Cost'!$C$28/12</f>
        <v>15.70713598</v>
      </c>
      <c r="T20" s="8">
        <f>'Prime Labs Estimated Cost'!$C$28/12</f>
        <v>15.70713598</v>
      </c>
      <c r="U20" s="8">
        <f>'Prime Labs Estimated Cost'!$C$28/12</f>
        <v>15.70713598</v>
      </c>
      <c r="V20" s="8">
        <f>'Prime Labs Estimated Cost'!$C$28/12</f>
        <v>15.70713598</v>
      </c>
      <c r="W20" s="8">
        <f>'Prime Labs Estimated Cost'!$C$28/12</f>
        <v>15.70713598</v>
      </c>
      <c r="X20" s="8">
        <f>'Prime Labs Estimated Cost'!$C$28/12</f>
        <v>15.70713598</v>
      </c>
      <c r="Y20" s="8">
        <f>'Prime Labs Estimated Cost'!$C$28/12</f>
        <v>15.70713598</v>
      </c>
      <c r="Z20" s="8">
        <f>'Prime Labs Estimated Cost'!$C$28/12</f>
        <v>15.70713598</v>
      </c>
      <c r="AA20" s="8">
        <f>'Prime Labs Estimated Cost'!$C$28/12</f>
        <v>15.70713598</v>
      </c>
      <c r="AB20" s="8">
        <f>'Prime Labs Estimated Cost'!$D$28/12</f>
        <v>30.09066667</v>
      </c>
      <c r="AC20" s="8">
        <f>'Prime Labs Estimated Cost'!$D$28/12</f>
        <v>30.09066667</v>
      </c>
      <c r="AD20" s="8">
        <f>'Prime Labs Estimated Cost'!$D$28/12</f>
        <v>30.09066667</v>
      </c>
      <c r="AE20" s="8">
        <f>'Prime Labs Estimated Cost'!$D$28/12</f>
        <v>30.09066667</v>
      </c>
      <c r="AF20" s="8">
        <f>'Prime Labs Estimated Cost'!$D$28/12</f>
        <v>30.09066667</v>
      </c>
      <c r="AG20" s="8">
        <f>'Prime Labs Estimated Cost'!$D$28/12</f>
        <v>30.09066667</v>
      </c>
      <c r="AH20" s="8">
        <f>'Prime Labs Estimated Cost'!$D$28/12</f>
        <v>30.09066667</v>
      </c>
      <c r="AI20" s="8">
        <f>'Prime Labs Estimated Cost'!$D$28/12</f>
        <v>30.09066667</v>
      </c>
      <c r="AJ20" s="8">
        <f>'Prime Labs Estimated Cost'!$D$28/12</f>
        <v>30.09066667</v>
      </c>
      <c r="AK20" s="8">
        <f>'Prime Labs Estimated Cost'!$D$28/12</f>
        <v>30.09066667</v>
      </c>
      <c r="AL20" s="8">
        <f>'Prime Labs Estimated Cost'!$D$28/12</f>
        <v>30.09066667</v>
      </c>
      <c r="AM20" s="8">
        <f>'Prime Labs Estimated Cost'!$D$28/12</f>
        <v>30.09066667</v>
      </c>
      <c r="AN20" s="2"/>
      <c r="AO20" s="2"/>
      <c r="AP20" s="2"/>
      <c r="AQ20" s="2"/>
      <c r="AR20" s="2"/>
      <c r="AS20" s="2"/>
    </row>
    <row r="21" ht="15.75" customHeight="1">
      <c r="A21" s="2"/>
      <c r="B21" s="2"/>
      <c r="C21" s="1" t="s">
        <v>53</v>
      </c>
      <c r="D21" s="12">
        <f t="shared" ref="D21:AM21" si="5">sum(D15:D20)</f>
        <v>3128</v>
      </c>
      <c r="E21" s="12">
        <f t="shared" si="5"/>
        <v>3128</v>
      </c>
      <c r="F21" s="12">
        <f t="shared" si="5"/>
        <v>3128</v>
      </c>
      <c r="G21" s="12">
        <f t="shared" si="5"/>
        <v>13878</v>
      </c>
      <c r="H21" s="12">
        <f t="shared" si="5"/>
        <v>51840.5</v>
      </c>
      <c r="I21" s="12">
        <f t="shared" si="5"/>
        <v>49332.5</v>
      </c>
      <c r="J21" s="12">
        <f t="shared" si="5"/>
        <v>13995</v>
      </c>
      <c r="K21" s="12">
        <f t="shared" si="5"/>
        <v>3005.8</v>
      </c>
      <c r="L21" s="12">
        <f t="shared" si="5"/>
        <v>380.8</v>
      </c>
      <c r="M21" s="12">
        <f t="shared" si="5"/>
        <v>3380.8</v>
      </c>
      <c r="N21" s="12">
        <f t="shared" si="5"/>
        <v>3380.8</v>
      </c>
      <c r="O21" s="12">
        <f t="shared" si="5"/>
        <v>3380.8</v>
      </c>
      <c r="P21" s="12">
        <f t="shared" si="5"/>
        <v>3385.707136</v>
      </c>
      <c r="Q21" s="12">
        <f t="shared" si="5"/>
        <v>385.707136</v>
      </c>
      <c r="R21" s="12">
        <f t="shared" si="5"/>
        <v>144505.2244</v>
      </c>
      <c r="S21" s="12">
        <f t="shared" si="5"/>
        <v>144505.2244</v>
      </c>
      <c r="T21" s="12">
        <f t="shared" si="5"/>
        <v>3385.707136</v>
      </c>
      <c r="U21" s="12">
        <f t="shared" si="5"/>
        <v>3385.707136</v>
      </c>
      <c r="V21" s="12">
        <f t="shared" si="5"/>
        <v>3385.707136</v>
      </c>
      <c r="W21" s="12">
        <f t="shared" si="5"/>
        <v>3385.707136</v>
      </c>
      <c r="X21" s="12">
        <f t="shared" si="5"/>
        <v>385.707136</v>
      </c>
      <c r="Y21" s="12">
        <f t="shared" si="5"/>
        <v>124973.3071</v>
      </c>
      <c r="Z21" s="12">
        <f t="shared" si="5"/>
        <v>124973.3071</v>
      </c>
      <c r="AA21" s="12">
        <f t="shared" si="5"/>
        <v>127973.3071</v>
      </c>
      <c r="AB21" s="12">
        <f t="shared" si="5"/>
        <v>127987.6907</v>
      </c>
      <c r="AC21" s="12">
        <f t="shared" si="5"/>
        <v>3400.090667</v>
      </c>
      <c r="AD21" s="12">
        <f t="shared" si="5"/>
        <v>3400.090667</v>
      </c>
      <c r="AE21" s="12">
        <f t="shared" si="5"/>
        <v>400.0906667</v>
      </c>
      <c r="AF21" s="12">
        <f t="shared" si="5"/>
        <v>400.0906667</v>
      </c>
      <c r="AG21" s="12">
        <f t="shared" si="5"/>
        <v>400.0906667</v>
      </c>
      <c r="AH21" s="12">
        <f t="shared" si="5"/>
        <v>400.0906667</v>
      </c>
      <c r="AI21" s="12">
        <f t="shared" si="5"/>
        <v>3400.090667</v>
      </c>
      <c r="AJ21" s="12">
        <f t="shared" si="5"/>
        <v>3400.090667</v>
      </c>
      <c r="AK21" s="12">
        <f t="shared" si="5"/>
        <v>3400.090667</v>
      </c>
      <c r="AL21" s="12">
        <f t="shared" si="5"/>
        <v>3400.090667</v>
      </c>
      <c r="AM21" s="12">
        <f t="shared" si="5"/>
        <v>400.0906667</v>
      </c>
      <c r="AN21" s="2"/>
      <c r="AO21" s="2"/>
      <c r="AP21" s="2"/>
      <c r="AQ21" s="2"/>
      <c r="AR21" s="2"/>
      <c r="AS21" s="2"/>
    </row>
    <row r="22" ht="15.75" customHeight="1">
      <c r="A22" s="1"/>
      <c r="B22" s="1"/>
      <c r="C22" s="2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2"/>
      <c r="AO22" s="2"/>
      <c r="AP22" s="2"/>
      <c r="AQ22" s="2"/>
      <c r="AR22" s="2"/>
      <c r="AS22" s="2"/>
    </row>
    <row r="23" ht="15.75" customHeight="1">
      <c r="A23" s="1" t="s">
        <v>24</v>
      </c>
      <c r="B23" s="1"/>
      <c r="C23" s="2"/>
      <c r="D23" s="8">
        <f t="shared" ref="D23:AM23" si="6">D6-D21</f>
        <v>-1864.58</v>
      </c>
      <c r="E23" s="8">
        <f t="shared" si="6"/>
        <v>-2190.82</v>
      </c>
      <c r="F23" s="8">
        <f t="shared" si="6"/>
        <v>-934.81</v>
      </c>
      <c r="G23" s="8">
        <f t="shared" si="6"/>
        <v>-13271.94</v>
      </c>
      <c r="H23" s="8">
        <f t="shared" si="6"/>
        <v>-50590.5375</v>
      </c>
      <c r="I23" s="8">
        <f t="shared" si="6"/>
        <v>-40082.5375</v>
      </c>
      <c r="J23" s="8">
        <f t="shared" si="6"/>
        <v>-2595</v>
      </c>
      <c r="K23" s="8">
        <f t="shared" si="6"/>
        <v>10394.2</v>
      </c>
      <c r="L23" s="8">
        <f t="shared" si="6"/>
        <v>27565.03333</v>
      </c>
      <c r="M23" s="8">
        <f t="shared" si="6"/>
        <v>58875.42807</v>
      </c>
      <c r="N23" s="8">
        <f t="shared" si="6"/>
        <v>63818.27407</v>
      </c>
      <c r="O23" s="8">
        <f t="shared" si="6"/>
        <v>66874.10196</v>
      </c>
      <c r="P23" s="8">
        <f t="shared" si="6"/>
        <v>64692.41786</v>
      </c>
      <c r="Q23" s="8">
        <f t="shared" si="6"/>
        <v>82030.95953</v>
      </c>
      <c r="R23" s="8">
        <f t="shared" si="6"/>
        <v>-58088.55775</v>
      </c>
      <c r="S23" s="8">
        <f t="shared" si="6"/>
        <v>-56088.55775</v>
      </c>
      <c r="T23" s="8">
        <f t="shared" si="6"/>
        <v>85030.95953</v>
      </c>
      <c r="U23" s="8">
        <f t="shared" si="6"/>
        <v>71030.95953</v>
      </c>
      <c r="V23" s="8">
        <f t="shared" si="6"/>
        <v>71030.95953</v>
      </c>
      <c r="W23" s="8">
        <f t="shared" si="6"/>
        <v>71030.95953</v>
      </c>
      <c r="X23" s="8">
        <f t="shared" si="6"/>
        <v>182919.8484</v>
      </c>
      <c r="Y23" s="8">
        <f t="shared" si="6"/>
        <v>58332.24841</v>
      </c>
      <c r="Z23" s="8">
        <f t="shared" si="6"/>
        <v>58332.24841</v>
      </c>
      <c r="AA23" s="8">
        <f t="shared" si="6"/>
        <v>55332.24841</v>
      </c>
      <c r="AB23" s="8">
        <f t="shared" si="6"/>
        <v>44706.75377</v>
      </c>
      <c r="AC23" s="8">
        <f t="shared" si="6"/>
        <v>169294.3538</v>
      </c>
      <c r="AD23" s="8">
        <f t="shared" si="6"/>
        <v>181294.3538</v>
      </c>
      <c r="AE23" s="8">
        <f t="shared" si="6"/>
        <v>186294.3538</v>
      </c>
      <c r="AF23" s="8">
        <f t="shared" si="6"/>
        <v>188294.3538</v>
      </c>
      <c r="AG23" s="8">
        <f t="shared" si="6"/>
        <v>188294.3538</v>
      </c>
      <c r="AH23" s="8">
        <f t="shared" si="6"/>
        <v>172294.3538</v>
      </c>
      <c r="AI23" s="8">
        <f t="shared" si="6"/>
        <v>169294.3538</v>
      </c>
      <c r="AJ23" s="8">
        <f t="shared" si="6"/>
        <v>223738.7982</v>
      </c>
      <c r="AK23" s="8">
        <f t="shared" si="6"/>
        <v>223738.7982</v>
      </c>
      <c r="AL23" s="8">
        <f t="shared" si="6"/>
        <v>223738.7982</v>
      </c>
      <c r="AM23" s="8">
        <f t="shared" si="6"/>
        <v>226738.7982</v>
      </c>
      <c r="AN23" s="2"/>
      <c r="AO23" s="2"/>
      <c r="AP23" s="2"/>
      <c r="AQ23" s="2"/>
      <c r="AR23" s="2"/>
      <c r="AS23" s="2"/>
    </row>
    <row r="24" ht="15.75" customHeight="1">
      <c r="A24" s="1"/>
      <c r="B24" s="1"/>
      <c r="C24" s="2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2"/>
      <c r="AO24" s="2"/>
      <c r="AP24" s="2"/>
      <c r="AQ24" s="2"/>
      <c r="AR24" s="2"/>
      <c r="AS24" s="2"/>
    </row>
    <row r="25" ht="15.75" customHeight="1">
      <c r="A25" s="1" t="s">
        <v>26</v>
      </c>
      <c r="B25" s="1"/>
      <c r="C25" s="2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2"/>
      <c r="AO25" s="2"/>
      <c r="AP25" s="2"/>
      <c r="AQ25" s="2"/>
      <c r="AR25" s="2"/>
      <c r="AS25" s="2"/>
    </row>
    <row r="26" ht="15.75" customHeight="1">
      <c r="A26" s="1"/>
      <c r="B26" s="1" t="s">
        <v>71</v>
      </c>
      <c r="C26" s="2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2"/>
      <c r="AO26" s="2"/>
      <c r="AP26" s="2"/>
      <c r="AQ26" s="2"/>
      <c r="AR26" s="2"/>
      <c r="AS26" s="2"/>
    </row>
    <row r="27" ht="15.75" customHeight="1">
      <c r="A27" s="1"/>
      <c r="B27" s="1"/>
      <c r="C27" s="2" t="s">
        <v>28</v>
      </c>
      <c r="D27" s="8">
        <v>0.0</v>
      </c>
      <c r="E27" s="8">
        <v>0.0</v>
      </c>
      <c r="F27" s="8">
        <v>0.0</v>
      </c>
      <c r="G27" s="8">
        <v>0.0</v>
      </c>
      <c r="H27" s="8">
        <v>0.0</v>
      </c>
      <c r="I27" s="8">
        <v>0.0</v>
      </c>
      <c r="J27" s="8">
        <v>0.0</v>
      </c>
      <c r="K27" s="8">
        <v>0.0</v>
      </c>
      <c r="L27" s="8">
        <v>0.0</v>
      </c>
      <c r="M27" s="8">
        <v>0.0</v>
      </c>
      <c r="N27" s="8">
        <v>0.0</v>
      </c>
      <c r="O27" s="8">
        <v>0.0</v>
      </c>
      <c r="P27" s="8">
        <f>'Employee Payroll'!$C$10/12</f>
        <v>4583.333333</v>
      </c>
      <c r="Q27" s="8">
        <f>'Employee Payroll'!$C$10/12</f>
        <v>4583.333333</v>
      </c>
      <c r="R27" s="8">
        <f>'Employee Payroll'!$C$10/12</f>
        <v>4583.333333</v>
      </c>
      <c r="S27" s="8">
        <f>'Employee Payroll'!$C$10/12</f>
        <v>4583.333333</v>
      </c>
      <c r="T27" s="8">
        <f>'Employee Payroll'!$C$10/12</f>
        <v>4583.333333</v>
      </c>
      <c r="U27" s="8">
        <f>'Employee Payroll'!$C$10/12</f>
        <v>4583.333333</v>
      </c>
      <c r="V27" s="8">
        <f>'Employee Payroll'!$C$10/12</f>
        <v>4583.333333</v>
      </c>
      <c r="W27" s="8">
        <f>'Employee Payroll'!$C$10/12</f>
        <v>4583.333333</v>
      </c>
      <c r="X27" s="8">
        <f>'Employee Payroll'!$C$10/12</f>
        <v>4583.333333</v>
      </c>
      <c r="Y27" s="8">
        <f>'Employee Payroll'!$C$10/12</f>
        <v>4583.333333</v>
      </c>
      <c r="Z27" s="8">
        <f>'Employee Payroll'!$C$10/12</f>
        <v>4583.333333</v>
      </c>
      <c r="AA27" s="8">
        <f>'Employee Payroll'!$C$10/12</f>
        <v>4583.333333</v>
      </c>
      <c r="AB27" s="8">
        <f>'Employee Payroll'!$D$10/12</f>
        <v>18333.33333</v>
      </c>
      <c r="AC27" s="8">
        <f>'Employee Payroll'!$D$10/12</f>
        <v>18333.33333</v>
      </c>
      <c r="AD27" s="8">
        <f>'Employee Payroll'!$D$10/12</f>
        <v>18333.33333</v>
      </c>
      <c r="AE27" s="8">
        <f>'Employee Payroll'!$D$10/12</f>
        <v>18333.33333</v>
      </c>
      <c r="AF27" s="8">
        <f>'Employee Payroll'!$D$10/12</f>
        <v>18333.33333</v>
      </c>
      <c r="AG27" s="8">
        <f>'Employee Payroll'!$D$10/12</f>
        <v>18333.33333</v>
      </c>
      <c r="AH27" s="8">
        <f>'Employee Payroll'!$D$10/12</f>
        <v>18333.33333</v>
      </c>
      <c r="AI27" s="8">
        <f>'Employee Payroll'!$D$10/12</f>
        <v>18333.33333</v>
      </c>
      <c r="AJ27" s="8">
        <f>'Employee Payroll'!$D$10/12</f>
        <v>18333.33333</v>
      </c>
      <c r="AK27" s="8">
        <f>'Employee Payroll'!$D$10/12</f>
        <v>18333.33333</v>
      </c>
      <c r="AL27" s="8">
        <f>'Employee Payroll'!$D$10/12</f>
        <v>18333.33333</v>
      </c>
      <c r="AM27" s="8">
        <f>'Employee Payroll'!$D$10/12</f>
        <v>18333.33333</v>
      </c>
      <c r="AN27" s="2"/>
      <c r="AO27" s="2"/>
      <c r="AP27" s="2"/>
      <c r="AQ27" s="2"/>
      <c r="AR27" s="2"/>
      <c r="AS27" s="2"/>
    </row>
    <row r="28" ht="15.75" customHeight="1">
      <c r="A28" s="1"/>
      <c r="B28" s="1"/>
      <c r="C28" s="2" t="s">
        <v>29</v>
      </c>
      <c r="D28" s="8">
        <f t="shared" ref="D28:O28" si="7">1000/12</f>
        <v>83.33333333</v>
      </c>
      <c r="E28" s="8">
        <f t="shared" si="7"/>
        <v>83.33333333</v>
      </c>
      <c r="F28" s="8">
        <f t="shared" si="7"/>
        <v>83.33333333</v>
      </c>
      <c r="G28" s="8">
        <f t="shared" si="7"/>
        <v>83.33333333</v>
      </c>
      <c r="H28" s="8">
        <f t="shared" si="7"/>
        <v>83.33333333</v>
      </c>
      <c r="I28" s="8">
        <f t="shared" si="7"/>
        <v>83.33333333</v>
      </c>
      <c r="J28" s="8">
        <f t="shared" si="7"/>
        <v>83.33333333</v>
      </c>
      <c r="K28" s="8">
        <f t="shared" si="7"/>
        <v>83.33333333</v>
      </c>
      <c r="L28" s="8">
        <f t="shared" si="7"/>
        <v>83.33333333</v>
      </c>
      <c r="M28" s="8">
        <f t="shared" si="7"/>
        <v>83.33333333</v>
      </c>
      <c r="N28" s="8">
        <f t="shared" si="7"/>
        <v>83.33333333</v>
      </c>
      <c r="O28" s="8">
        <f t="shared" si="7"/>
        <v>83.33333333</v>
      </c>
      <c r="P28" s="8">
        <f t="shared" ref="P28:AA28" si="8">1500/12</f>
        <v>125</v>
      </c>
      <c r="Q28" s="8">
        <f t="shared" si="8"/>
        <v>125</v>
      </c>
      <c r="R28" s="8">
        <f t="shared" si="8"/>
        <v>125</v>
      </c>
      <c r="S28" s="8">
        <f t="shared" si="8"/>
        <v>125</v>
      </c>
      <c r="T28" s="8">
        <f t="shared" si="8"/>
        <v>125</v>
      </c>
      <c r="U28" s="8">
        <f t="shared" si="8"/>
        <v>125</v>
      </c>
      <c r="V28" s="8">
        <f t="shared" si="8"/>
        <v>125</v>
      </c>
      <c r="W28" s="8">
        <f t="shared" si="8"/>
        <v>125</v>
      </c>
      <c r="X28" s="8">
        <f t="shared" si="8"/>
        <v>125</v>
      </c>
      <c r="Y28" s="8">
        <f t="shared" si="8"/>
        <v>125</v>
      </c>
      <c r="Z28" s="8">
        <f t="shared" si="8"/>
        <v>125</v>
      </c>
      <c r="AA28" s="8">
        <f t="shared" si="8"/>
        <v>125</v>
      </c>
      <c r="AB28" s="8">
        <f t="shared" ref="AB28:AM28" si="9">2000/12</f>
        <v>166.6666667</v>
      </c>
      <c r="AC28" s="8">
        <f t="shared" si="9"/>
        <v>166.6666667</v>
      </c>
      <c r="AD28" s="8">
        <f t="shared" si="9"/>
        <v>166.6666667</v>
      </c>
      <c r="AE28" s="8">
        <f t="shared" si="9"/>
        <v>166.6666667</v>
      </c>
      <c r="AF28" s="8">
        <f t="shared" si="9"/>
        <v>166.6666667</v>
      </c>
      <c r="AG28" s="8">
        <f t="shared" si="9"/>
        <v>166.6666667</v>
      </c>
      <c r="AH28" s="8">
        <f t="shared" si="9"/>
        <v>166.6666667</v>
      </c>
      <c r="AI28" s="8">
        <f t="shared" si="9"/>
        <v>166.6666667</v>
      </c>
      <c r="AJ28" s="8">
        <f t="shared" si="9"/>
        <v>166.6666667</v>
      </c>
      <c r="AK28" s="8">
        <f t="shared" si="9"/>
        <v>166.6666667</v>
      </c>
      <c r="AL28" s="8">
        <f t="shared" si="9"/>
        <v>166.6666667</v>
      </c>
      <c r="AM28" s="8">
        <f t="shared" si="9"/>
        <v>166.6666667</v>
      </c>
      <c r="AN28" s="2"/>
      <c r="AO28" s="2"/>
      <c r="AP28" s="2"/>
      <c r="AQ28" s="2"/>
      <c r="AR28" s="2"/>
      <c r="AS28" s="2"/>
    </row>
    <row r="29" ht="15.75" customHeight="1">
      <c r="A29" s="1"/>
      <c r="B29" s="1"/>
      <c r="C29" s="2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2"/>
      <c r="AO29" s="2"/>
      <c r="AP29" s="2"/>
      <c r="AQ29" s="2"/>
      <c r="AR29" s="2"/>
      <c r="AS29" s="2"/>
    </row>
    <row r="30" ht="15.75" customHeight="1">
      <c r="A30" s="1"/>
      <c r="B30" s="1" t="s">
        <v>31</v>
      </c>
      <c r="C30" s="2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2"/>
      <c r="AO30" s="2"/>
      <c r="AP30" s="2"/>
      <c r="AQ30" s="2"/>
      <c r="AR30" s="2"/>
      <c r="AS30" s="2"/>
    </row>
    <row r="31" ht="15.75" customHeight="1">
      <c r="A31" s="1"/>
      <c r="B31" s="1"/>
      <c r="C31" s="2" t="s">
        <v>28</v>
      </c>
      <c r="D31" s="8">
        <v>0.0</v>
      </c>
      <c r="E31" s="8">
        <v>0.0</v>
      </c>
      <c r="F31" s="8">
        <v>0.0</v>
      </c>
      <c r="G31" s="8">
        <v>0.0</v>
      </c>
      <c r="H31" s="8">
        <v>0.0</v>
      </c>
      <c r="I31" s="8">
        <v>0.0</v>
      </c>
      <c r="J31" s="8">
        <v>0.0</v>
      </c>
      <c r="K31" s="8">
        <v>0.0</v>
      </c>
      <c r="L31" s="8">
        <v>0.0</v>
      </c>
      <c r="M31" s="8">
        <v>0.0</v>
      </c>
      <c r="N31" s="8">
        <f>'Employee Payroll'!$B$24/12</f>
        <v>5833.333333</v>
      </c>
      <c r="O31" s="8">
        <f>'Employee Payroll'!$B$24/12</f>
        <v>5833.333333</v>
      </c>
      <c r="P31" s="8">
        <f>'Employee Payroll'!$C$24/12</f>
        <v>15416.66667</v>
      </c>
      <c r="Q31" s="8">
        <f>'Employee Payroll'!$C$24/12</f>
        <v>15416.66667</v>
      </c>
      <c r="R31" s="8">
        <f>'Employee Payroll'!$C$24/12</f>
        <v>15416.66667</v>
      </c>
      <c r="S31" s="8">
        <f>'Employee Payroll'!$C$24/12</f>
        <v>15416.66667</v>
      </c>
      <c r="T31" s="8">
        <f>'Employee Payroll'!$C$24/12</f>
        <v>15416.66667</v>
      </c>
      <c r="U31" s="8">
        <f>'Employee Payroll'!$C$24/12</f>
        <v>15416.66667</v>
      </c>
      <c r="V31" s="8">
        <f>'Employee Payroll'!$C$24/12</f>
        <v>15416.66667</v>
      </c>
      <c r="W31" s="8">
        <f>'Employee Payroll'!$C$24/12</f>
        <v>15416.66667</v>
      </c>
      <c r="X31" s="8">
        <f>'Employee Payroll'!$C$24/12</f>
        <v>15416.66667</v>
      </c>
      <c r="Y31" s="8">
        <f>'Employee Payroll'!$C$24/12</f>
        <v>15416.66667</v>
      </c>
      <c r="Z31" s="8">
        <f>'Employee Payroll'!$C$24/12</f>
        <v>15416.66667</v>
      </c>
      <c r="AA31" s="8">
        <f>'Employee Payroll'!$C$24/12</f>
        <v>15416.66667</v>
      </c>
      <c r="AB31" s="8">
        <f>'Employee Payroll'!$D$24/12</f>
        <v>19166.66667</v>
      </c>
      <c r="AC31" s="8">
        <f>'Employee Payroll'!$D$24/12</f>
        <v>19166.66667</v>
      </c>
      <c r="AD31" s="8">
        <f>'Employee Payroll'!$D$24/12</f>
        <v>19166.66667</v>
      </c>
      <c r="AE31" s="8">
        <f>'Employee Payroll'!$D$24/12</f>
        <v>19166.66667</v>
      </c>
      <c r="AF31" s="8">
        <f>'Employee Payroll'!$D$24/12</f>
        <v>19166.66667</v>
      </c>
      <c r="AG31" s="8">
        <f>'Employee Payroll'!$D$24/12</f>
        <v>19166.66667</v>
      </c>
      <c r="AH31" s="8">
        <f>'Employee Payroll'!$D$24/12</f>
        <v>19166.66667</v>
      </c>
      <c r="AI31" s="8">
        <f>'Employee Payroll'!$D$24/12</f>
        <v>19166.66667</v>
      </c>
      <c r="AJ31" s="8">
        <f>'Employee Payroll'!$D$24/12</f>
        <v>19166.66667</v>
      </c>
      <c r="AK31" s="8">
        <f>'Employee Payroll'!$D$24/12</f>
        <v>19166.66667</v>
      </c>
      <c r="AL31" s="8">
        <f>'Employee Payroll'!$D$24/12</f>
        <v>19166.66667</v>
      </c>
      <c r="AM31" s="8">
        <f>'Employee Payroll'!$D$24/12</f>
        <v>19166.66667</v>
      </c>
      <c r="AN31" s="2"/>
      <c r="AO31" s="2"/>
      <c r="AP31" s="2"/>
      <c r="AQ31" s="2"/>
      <c r="AR31" s="2"/>
      <c r="AS31" s="2"/>
    </row>
    <row r="32" ht="15.75" customHeight="1">
      <c r="A32" s="1"/>
      <c r="B32" s="1"/>
      <c r="C32" s="2" t="s">
        <v>72</v>
      </c>
      <c r="D32" s="8">
        <v>0.0</v>
      </c>
      <c r="E32" s="8">
        <v>0.0</v>
      </c>
      <c r="F32" s="8">
        <v>0.0</v>
      </c>
      <c r="G32" s="8">
        <v>0.0</v>
      </c>
      <c r="H32" s="8">
        <v>0.0</v>
      </c>
      <c r="I32" s="8">
        <v>0.0</v>
      </c>
      <c r="J32" s="8">
        <v>0.0</v>
      </c>
      <c r="K32" s="8">
        <v>0.0</v>
      </c>
      <c r="L32" s="8">
        <v>0.0</v>
      </c>
      <c r="M32" s="8">
        <v>0.0</v>
      </c>
      <c r="N32" s="8">
        <v>0.0</v>
      </c>
      <c r="O32" s="8">
        <v>0.0</v>
      </c>
      <c r="P32" s="8">
        <v>0.0</v>
      </c>
      <c r="Q32" s="8">
        <v>0.0</v>
      </c>
      <c r="R32" s="8">
        <v>0.0</v>
      </c>
      <c r="S32" s="8">
        <v>0.0</v>
      </c>
      <c r="T32" s="8">
        <v>0.0</v>
      </c>
      <c r="U32" s="8">
        <v>0.0</v>
      </c>
      <c r="V32" s="8">
        <v>0.0</v>
      </c>
      <c r="W32" s="8">
        <v>0.0</v>
      </c>
      <c r="X32" s="8">
        <v>0.0</v>
      </c>
      <c r="Y32" s="8">
        <v>0.0</v>
      </c>
      <c r="Z32" s="8">
        <v>0.0</v>
      </c>
      <c r="AA32" s="8">
        <v>0.0</v>
      </c>
      <c r="AB32" s="8">
        <v>0.0</v>
      </c>
      <c r="AC32" s="8">
        <v>0.0</v>
      </c>
      <c r="AD32" s="8">
        <v>0.0</v>
      </c>
      <c r="AE32" s="8">
        <v>0.0</v>
      </c>
      <c r="AF32" s="8">
        <v>0.0</v>
      </c>
      <c r="AG32" s="8">
        <v>0.0</v>
      </c>
      <c r="AH32" s="8">
        <v>0.0</v>
      </c>
      <c r="AI32" s="8">
        <v>0.0</v>
      </c>
      <c r="AJ32" s="8">
        <v>0.0</v>
      </c>
      <c r="AK32" s="8">
        <v>0.0</v>
      </c>
      <c r="AL32" s="8">
        <v>0.0</v>
      </c>
      <c r="AM32" s="8">
        <v>0.0</v>
      </c>
      <c r="AN32" s="2"/>
      <c r="AO32" s="2"/>
      <c r="AP32" s="2"/>
      <c r="AQ32" s="2"/>
      <c r="AR32" s="2"/>
      <c r="AS32" s="2"/>
    </row>
    <row r="33" ht="15.75" customHeight="1">
      <c r="A33" s="1"/>
      <c r="B33" s="1"/>
      <c r="C33" s="2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2"/>
      <c r="AO33" s="2"/>
      <c r="AP33" s="2"/>
      <c r="AQ33" s="2"/>
      <c r="AR33" s="2"/>
      <c r="AS33" s="2"/>
    </row>
    <row r="34" ht="15.75" customHeight="1">
      <c r="A34" s="1"/>
      <c r="B34" s="1" t="s">
        <v>32</v>
      </c>
      <c r="C34" s="2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2"/>
      <c r="AO34" s="2"/>
      <c r="AP34" s="2"/>
      <c r="AQ34" s="2"/>
      <c r="AR34" s="2"/>
      <c r="AS34" s="2"/>
    </row>
    <row r="35" ht="15.75" customHeight="1">
      <c r="A35" s="1"/>
      <c r="B35" s="1"/>
      <c r="C35" s="2" t="s">
        <v>28</v>
      </c>
      <c r="D35" s="8">
        <v>0.0</v>
      </c>
      <c r="E35" s="8">
        <v>0.0</v>
      </c>
      <c r="F35" s="8">
        <v>0.0</v>
      </c>
      <c r="G35" s="8">
        <v>0.0</v>
      </c>
      <c r="H35" s="8">
        <v>0.0</v>
      </c>
      <c r="I35" s="8">
        <v>0.0</v>
      </c>
      <c r="J35" s="8">
        <f>'Employee Payroll'!$B$29/12</f>
        <v>0</v>
      </c>
      <c r="K35" s="8">
        <f>'Employee Payroll'!$B$29/12</f>
        <v>0</v>
      </c>
      <c r="L35" s="8">
        <f>'Employee Payroll'!$B$29/12</f>
        <v>0</v>
      </c>
      <c r="M35" s="8">
        <f>'Employee Payroll'!$B$29/12</f>
        <v>0</v>
      </c>
      <c r="N35" s="8">
        <f>'Employee Payroll'!$B$29/12</f>
        <v>0</v>
      </c>
      <c r="O35" s="8">
        <f>'Employee Payroll'!$B$29/12</f>
        <v>0</v>
      </c>
      <c r="P35" s="8">
        <f>'Employee Payroll'!$C$30/12</f>
        <v>4166.666667</v>
      </c>
      <c r="Q35" s="8">
        <f>'Employee Payroll'!$C$30/12</f>
        <v>4166.666667</v>
      </c>
      <c r="R35" s="8">
        <f>'Employee Payroll'!$C$30/12</f>
        <v>4166.666667</v>
      </c>
      <c r="S35" s="8">
        <f>'Employee Payroll'!$C$30/12</f>
        <v>4166.666667</v>
      </c>
      <c r="T35" s="8">
        <f>'Employee Payroll'!$C$30/12</f>
        <v>4166.666667</v>
      </c>
      <c r="U35" s="8">
        <f>'Employee Payroll'!$C$30/12</f>
        <v>4166.666667</v>
      </c>
      <c r="V35" s="8">
        <f>'Employee Payroll'!$C$30/12</f>
        <v>4166.666667</v>
      </c>
      <c r="W35" s="8">
        <f>'Employee Payroll'!$C$30/12</f>
        <v>4166.666667</v>
      </c>
      <c r="X35" s="8">
        <f>'Employee Payroll'!$C$30/12</f>
        <v>4166.666667</v>
      </c>
      <c r="Y35" s="8">
        <f>'Employee Payroll'!$C$30/12</f>
        <v>4166.666667</v>
      </c>
      <c r="Z35" s="8">
        <f>'Employee Payroll'!$C$30/12</f>
        <v>4166.666667</v>
      </c>
      <c r="AA35" s="8">
        <f>'Employee Payroll'!$C$30/12</f>
        <v>4166.666667</v>
      </c>
      <c r="AB35" s="8">
        <f>'Employee Payroll'!$D$30/12</f>
        <v>12500</v>
      </c>
      <c r="AC35" s="8">
        <f>'Employee Payroll'!$D$30/12</f>
        <v>12500</v>
      </c>
      <c r="AD35" s="8">
        <f>'Employee Payroll'!$D$30/12</f>
        <v>12500</v>
      </c>
      <c r="AE35" s="8">
        <f>'Employee Payroll'!$D$30/12</f>
        <v>12500</v>
      </c>
      <c r="AF35" s="8">
        <f>'Employee Payroll'!$D$30/12</f>
        <v>12500</v>
      </c>
      <c r="AG35" s="8">
        <f>'Employee Payroll'!$D$30/12</f>
        <v>12500</v>
      </c>
      <c r="AH35" s="8">
        <f>'Employee Payroll'!$D$30/12</f>
        <v>12500</v>
      </c>
      <c r="AI35" s="8">
        <f>'Employee Payroll'!$D$30/12</f>
        <v>12500</v>
      </c>
      <c r="AJ35" s="8">
        <f>'Employee Payroll'!$D$30/12</f>
        <v>12500</v>
      </c>
      <c r="AK35" s="8">
        <f>'Employee Payroll'!$D$30/12</f>
        <v>12500</v>
      </c>
      <c r="AL35" s="8">
        <f>'Employee Payroll'!$D$30/12</f>
        <v>12500</v>
      </c>
      <c r="AM35" s="8">
        <f>'Employee Payroll'!$D$30/12</f>
        <v>12500</v>
      </c>
      <c r="AN35" s="2"/>
      <c r="AO35" s="2"/>
      <c r="AP35" s="2"/>
      <c r="AQ35" s="2"/>
      <c r="AR35" s="2"/>
      <c r="AS35" s="2"/>
    </row>
    <row r="36" ht="15.75" customHeight="1">
      <c r="A36" s="1"/>
      <c r="B36" s="1"/>
      <c r="C36" s="2" t="s">
        <v>73</v>
      </c>
      <c r="D36" s="8">
        <v>500.0</v>
      </c>
      <c r="E36" s="8">
        <v>750.0</v>
      </c>
      <c r="F36" s="8">
        <v>750.0</v>
      </c>
      <c r="G36" s="33">
        <v>500.0</v>
      </c>
      <c r="H36" s="8">
        <v>500.0</v>
      </c>
      <c r="I36" s="8">
        <v>1000.0</v>
      </c>
      <c r="J36" s="8">
        <v>1000.0</v>
      </c>
      <c r="K36" s="8">
        <v>1000.0</v>
      </c>
      <c r="L36" s="8">
        <v>1000.0</v>
      </c>
      <c r="M36" s="8">
        <v>1000.0</v>
      </c>
      <c r="N36" s="8">
        <v>1000.0</v>
      </c>
      <c r="O36" s="8">
        <v>1500.0</v>
      </c>
      <c r="P36" s="8">
        <v>1500.0</v>
      </c>
      <c r="Q36" s="8">
        <v>1500.0</v>
      </c>
      <c r="R36" s="8">
        <v>1500.0</v>
      </c>
      <c r="S36" s="8">
        <v>1500.0</v>
      </c>
      <c r="T36" s="8">
        <v>1500.0</v>
      </c>
      <c r="U36" s="8">
        <v>1500.0</v>
      </c>
      <c r="V36" s="8">
        <v>1500.0</v>
      </c>
      <c r="W36" s="8">
        <v>1500.0</v>
      </c>
      <c r="X36" s="8">
        <v>1500.0</v>
      </c>
      <c r="Y36" s="8">
        <v>1500.0</v>
      </c>
      <c r="Z36" s="8">
        <v>1500.0</v>
      </c>
      <c r="AA36" s="8">
        <v>1500.0</v>
      </c>
      <c r="AB36" s="8">
        <v>1500.0</v>
      </c>
      <c r="AC36" s="8">
        <v>1500.0</v>
      </c>
      <c r="AD36" s="8">
        <v>1500.0</v>
      </c>
      <c r="AE36" s="8">
        <v>1500.0</v>
      </c>
      <c r="AF36" s="8">
        <v>1500.0</v>
      </c>
      <c r="AG36" s="8">
        <v>1500.0</v>
      </c>
      <c r="AH36" s="8">
        <v>1500.0</v>
      </c>
      <c r="AI36" s="8">
        <v>1500.0</v>
      </c>
      <c r="AJ36" s="8">
        <v>1500.0</v>
      </c>
      <c r="AK36" s="8">
        <v>1500.0</v>
      </c>
      <c r="AL36" s="8">
        <v>1500.0</v>
      </c>
      <c r="AM36" s="8">
        <v>1500.0</v>
      </c>
      <c r="AN36" s="2"/>
      <c r="AO36" s="2"/>
      <c r="AP36" s="2"/>
      <c r="AQ36" s="2"/>
      <c r="AR36" s="2"/>
      <c r="AS36" s="2"/>
    </row>
    <row r="37" ht="15.75" customHeight="1">
      <c r="A37" s="1"/>
      <c r="B37" s="1"/>
      <c r="C37" s="2" t="s">
        <v>74</v>
      </c>
      <c r="D37" s="33">
        <v>0.0</v>
      </c>
      <c r="E37" s="33">
        <v>0.0</v>
      </c>
      <c r="F37" s="33">
        <v>0.0</v>
      </c>
      <c r="G37" s="33">
        <v>0.0</v>
      </c>
      <c r="H37" s="33">
        <v>0.0</v>
      </c>
      <c r="I37" s="33">
        <v>0.0</v>
      </c>
      <c r="J37" s="33">
        <v>0.0</v>
      </c>
      <c r="K37" s="8">
        <f>SUM('Monthly Budget'!$D$21:$D$24)</f>
        <v>18500</v>
      </c>
      <c r="L37" s="8">
        <f>SUM('Monthly Budget'!$D$21:$D$24)</f>
        <v>18500</v>
      </c>
      <c r="M37" s="8">
        <f>SUM('Monthly Budget'!$D$21:$D$24)</f>
        <v>18500</v>
      </c>
      <c r="N37" s="8">
        <f>SUM('Monthly Budget'!$D$21:$D$24)</f>
        <v>18500</v>
      </c>
      <c r="O37" s="8">
        <f>SUM('Monthly Budget'!$D$21:$D$24)</f>
        <v>18500</v>
      </c>
      <c r="P37" s="8">
        <f>SUM('Monthly Budget'!$D$21:$D$24)</f>
        <v>18500</v>
      </c>
      <c r="Q37" s="8">
        <f>SUM('Monthly Budget'!$D$21:$D$24)</f>
        <v>18500</v>
      </c>
      <c r="R37" s="8">
        <f>SUM('Monthly Budget'!$D$21:$D$24)</f>
        <v>18500</v>
      </c>
      <c r="S37" s="8">
        <f>SUM('Monthly Budget'!$D$21:$D$24)</f>
        <v>18500</v>
      </c>
      <c r="T37" s="8">
        <f>SUM('Monthly Budget'!$D$21:$D$24)</f>
        <v>18500</v>
      </c>
      <c r="U37" s="8">
        <f>SUM('Monthly Budget'!$D$21:$D$24)</f>
        <v>18500</v>
      </c>
      <c r="V37" s="8">
        <f>SUM('Monthly Budget'!$D$21:$D$24)</f>
        <v>18500</v>
      </c>
      <c r="W37" s="8">
        <f>SUM('Monthly Budget'!$D$21:$D$24)</f>
        <v>18500</v>
      </c>
      <c r="X37" s="8">
        <f>SUM('Monthly Budget'!$D$21:$D$24)</f>
        <v>18500</v>
      </c>
      <c r="Y37" s="8">
        <f>SUM('Monthly Budget'!$D$21:$D$24)</f>
        <v>18500</v>
      </c>
      <c r="Z37" s="8">
        <f>SUM('Monthly Budget'!$D$21:$D$24)</f>
        <v>18500</v>
      </c>
      <c r="AA37" s="8">
        <f>SUM('Monthly Budget'!$D$21:$D$24)</f>
        <v>18500</v>
      </c>
      <c r="AB37" s="8">
        <f>SUM('Monthly Budget'!$D$21:$D$24)</f>
        <v>18500</v>
      </c>
      <c r="AC37" s="8">
        <f>SUM('Monthly Budget'!$D$21:$D$24)</f>
        <v>18500</v>
      </c>
      <c r="AD37" s="8">
        <f>SUM('Monthly Budget'!$D$21:$D$24)</f>
        <v>18500</v>
      </c>
      <c r="AE37" s="8">
        <f>SUM('Monthly Budget'!$D$21:$D$24)</f>
        <v>18500</v>
      </c>
      <c r="AF37" s="8">
        <f>SUM('Monthly Budget'!$D$21:$D$24)</f>
        <v>18500</v>
      </c>
      <c r="AG37" s="8">
        <f>SUM('Monthly Budget'!$D$21:$D$24)</f>
        <v>18500</v>
      </c>
      <c r="AH37" s="8">
        <f>SUM('Monthly Budget'!$D$21:$D$24)</f>
        <v>18500</v>
      </c>
      <c r="AI37" s="8">
        <f>SUM('Monthly Budget'!$D$21:$D$24)</f>
        <v>18500</v>
      </c>
      <c r="AJ37" s="8">
        <f>SUM('Monthly Budget'!$D$21:$D$24)</f>
        <v>18500</v>
      </c>
      <c r="AK37" s="8">
        <f>SUM('Monthly Budget'!$D$21:$D$24)</f>
        <v>18500</v>
      </c>
      <c r="AL37" s="8">
        <f>SUM('Monthly Budget'!$D$21:$D$24)</f>
        <v>18500</v>
      </c>
      <c r="AM37" s="8">
        <f>SUM('Monthly Budget'!$D$21:$D$24)</f>
        <v>18500</v>
      </c>
      <c r="AN37" s="2"/>
      <c r="AO37" s="2"/>
      <c r="AP37" s="2"/>
      <c r="AQ37" s="2"/>
      <c r="AR37" s="2"/>
      <c r="AS37" s="2"/>
    </row>
    <row r="38" ht="15.75" customHeight="1">
      <c r="A38" s="1"/>
      <c r="B38" s="1"/>
      <c r="C38" s="2" t="s">
        <v>75</v>
      </c>
      <c r="D38" s="8">
        <v>3000.0</v>
      </c>
      <c r="E38" s="8">
        <v>3000.0</v>
      </c>
      <c r="F38" s="8">
        <v>4000.0</v>
      </c>
      <c r="G38" s="8">
        <v>4000.0</v>
      </c>
      <c r="H38" s="8">
        <v>4000.0</v>
      </c>
      <c r="I38" s="33">
        <v>4000.0</v>
      </c>
      <c r="J38" s="33">
        <v>4000.0</v>
      </c>
      <c r="K38" s="33">
        <v>4000.0</v>
      </c>
      <c r="L38" s="8">
        <f>('Annual Marketing Spend'!$A$3/12/2)-sum(L35:L37)</f>
        <v>13833.33333</v>
      </c>
      <c r="M38" s="8">
        <f>('Annual Marketing Spend'!$A$3/12)-sum(M35:M37)</f>
        <v>47166.66667</v>
      </c>
      <c r="N38" s="8">
        <f>('Annual Marketing Spend'!$A$3/12)-sum(N35:N37)</f>
        <v>47166.66667</v>
      </c>
      <c r="O38" s="8">
        <f>('Annual Marketing Spend'!$A$3/12)-sum(O35:O37)</f>
        <v>46666.66667</v>
      </c>
      <c r="P38" s="8">
        <f>('Annual Marketing Spend'!$A$3/12)-sum(P35:P37)</f>
        <v>42500</v>
      </c>
      <c r="Q38" s="8">
        <f>('Annual Marketing Spend'!$A$3/12)-sum(Q35:Q37)</f>
        <v>42500</v>
      </c>
      <c r="R38" s="8">
        <f>('Annual Marketing Spend'!$A$3/12)-sum(R35:R37)</f>
        <v>42500</v>
      </c>
      <c r="S38" s="8">
        <f>('Annual Marketing Spend'!$A$3/12)-sum(S35:S37)</f>
        <v>42500</v>
      </c>
      <c r="T38" s="8">
        <f>('Annual Marketing Spend'!$A$3/12)-sum(T35:T37)</f>
        <v>42500</v>
      </c>
      <c r="U38" s="8">
        <f>('Annual Marketing Spend'!$A$3/12)-sum(U35:U37)</f>
        <v>42500</v>
      </c>
      <c r="V38" s="8">
        <f>('Annual Marketing Spend'!$A$3/12)-sum(V35:V37)</f>
        <v>42500</v>
      </c>
      <c r="W38" s="8">
        <f>('Annual Marketing Spend'!$A$3/12)-sum(W35:W37)</f>
        <v>42500</v>
      </c>
      <c r="X38" s="8">
        <f>('Annual Marketing Spend'!$B$3/12)-sum(X35:X37)</f>
        <v>109166.6667</v>
      </c>
      <c r="Y38" s="8">
        <f>('Annual Marketing Spend'!$B$3/12)-sum(Y35:Y37)</f>
        <v>109166.6667</v>
      </c>
      <c r="Z38" s="8">
        <f>('Annual Marketing Spend'!$B$3/12)-sum(Z35:Z37)</f>
        <v>109166.6667</v>
      </c>
      <c r="AA38" s="8">
        <f>('Annual Marketing Spend'!$B$3/12)-sum(AA35:AA37)</f>
        <v>109166.6667</v>
      </c>
      <c r="AB38" s="8">
        <f>('Annual Marketing Spend'!$B$3/12)-sum(AB35:AB37)</f>
        <v>100833.3333</v>
      </c>
      <c r="AC38" s="8">
        <f>('Annual Marketing Spend'!$B$3/12)-sum(AC35:AC37)</f>
        <v>100833.3333</v>
      </c>
      <c r="AD38" s="8">
        <f>('Annual Marketing Spend'!$B$3/12)-sum(AD35:AD37)</f>
        <v>100833.3333</v>
      </c>
      <c r="AE38" s="8">
        <f>('Annual Marketing Spend'!$B$3/12)-sum(AE35:AE37)</f>
        <v>100833.3333</v>
      </c>
      <c r="AF38" s="8">
        <f>('Annual Marketing Spend'!$B$3/12)-sum(AF35:AF37)</f>
        <v>100833.3333</v>
      </c>
      <c r="AG38" s="8">
        <f>('Annual Marketing Spend'!$B$3/12)-sum(AG35:AG37)</f>
        <v>100833.3333</v>
      </c>
      <c r="AH38" s="8">
        <f>('Annual Marketing Spend'!$B$3/12)-sum(AH35:AH37)</f>
        <v>100833.3333</v>
      </c>
      <c r="AI38" s="8">
        <f>('Annual Marketing Spend'!$B$3/12)-sum(AI35:AI37)</f>
        <v>100833.3333</v>
      </c>
      <c r="AJ38" s="8">
        <f>('Annual Marketing Spend'!$C$3/12)-sum(AJ35:AJ37)</f>
        <v>134166.6667</v>
      </c>
      <c r="AK38" s="8">
        <f>('Annual Marketing Spend'!$C$3/12)-sum(AK35:AK37)</f>
        <v>134166.6667</v>
      </c>
      <c r="AL38" s="8">
        <f>('Annual Marketing Spend'!$C$3/12)-sum(AL35:AL37)</f>
        <v>134166.6667</v>
      </c>
      <c r="AM38" s="8">
        <f>('Annual Marketing Spend'!$C$3/12)-sum(AM35:AM37)</f>
        <v>134166.6667</v>
      </c>
      <c r="AN38" s="2"/>
      <c r="AO38" s="2"/>
      <c r="AP38" s="2"/>
      <c r="AQ38" s="2"/>
      <c r="AR38" s="2"/>
      <c r="AS38" s="2"/>
    </row>
    <row r="39" ht="15.75" customHeight="1">
      <c r="A39" s="1"/>
      <c r="B39" s="1"/>
      <c r="C39" s="2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2"/>
      <c r="AO39" s="2"/>
      <c r="AP39" s="2"/>
      <c r="AQ39" s="2"/>
      <c r="AR39" s="2"/>
      <c r="AS39" s="2"/>
    </row>
    <row r="40" ht="15.75" customHeight="1">
      <c r="A40" s="1"/>
      <c r="B40" s="9" t="s">
        <v>36</v>
      </c>
      <c r="C40" s="2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2"/>
      <c r="AO40" s="2"/>
      <c r="AP40" s="2"/>
      <c r="AQ40" s="2"/>
      <c r="AR40" s="2"/>
      <c r="AS40" s="2"/>
    </row>
    <row r="41" ht="15.75" customHeight="1">
      <c r="A41" s="1"/>
      <c r="B41" s="1"/>
      <c r="C41" s="2" t="s">
        <v>28</v>
      </c>
      <c r="D41" s="8">
        <v>0.0</v>
      </c>
      <c r="E41" s="8">
        <v>0.0</v>
      </c>
      <c r="F41" s="8">
        <v>0.0</v>
      </c>
      <c r="G41" s="8">
        <v>0.0</v>
      </c>
      <c r="H41" s="8">
        <v>0.0</v>
      </c>
      <c r="I41" s="8">
        <v>0.0</v>
      </c>
      <c r="J41" s="8">
        <f>'Employee Payroll'!B35/12</f>
        <v>4166.666667</v>
      </c>
      <c r="K41" s="8">
        <f>'Employee Payroll'!$B$35/12</f>
        <v>4166.666667</v>
      </c>
      <c r="L41" s="8">
        <f>'Employee Payroll'!$B$35/12</f>
        <v>4166.666667</v>
      </c>
      <c r="M41" s="8">
        <f>'Employee Payroll'!$B$35/12</f>
        <v>4166.666667</v>
      </c>
      <c r="N41" s="8">
        <f>'Employee Payroll'!$B$35/12</f>
        <v>4166.666667</v>
      </c>
      <c r="O41" s="8">
        <f>'Employee Payroll'!$B$35/12</f>
        <v>4166.666667</v>
      </c>
      <c r="P41" s="8">
        <f>'Employee Payroll'!$C$36/12</f>
        <v>8333.333333</v>
      </c>
      <c r="Q41" s="8">
        <f>'Employee Payroll'!$C$36/12</f>
        <v>8333.333333</v>
      </c>
      <c r="R41" s="8">
        <f>'Employee Payroll'!$C$36/12</f>
        <v>8333.333333</v>
      </c>
      <c r="S41" s="8">
        <f>'Employee Payroll'!$C$36/12</f>
        <v>8333.333333</v>
      </c>
      <c r="T41" s="8">
        <f>'Employee Payroll'!$C$36/12</f>
        <v>8333.333333</v>
      </c>
      <c r="U41" s="8">
        <f>'Employee Payroll'!$C$36/12</f>
        <v>8333.333333</v>
      </c>
      <c r="V41" s="8">
        <f>'Employee Payroll'!$C$36/12</f>
        <v>8333.333333</v>
      </c>
      <c r="W41" s="8">
        <f>'Employee Payroll'!$C$36/12</f>
        <v>8333.333333</v>
      </c>
      <c r="X41" s="8">
        <f>'Employee Payroll'!$C$36/12</f>
        <v>8333.333333</v>
      </c>
      <c r="Y41" s="8">
        <f>'Employee Payroll'!$C$36/12</f>
        <v>8333.333333</v>
      </c>
      <c r="Z41" s="8">
        <f>'Employee Payroll'!$C$36/12</f>
        <v>8333.333333</v>
      </c>
      <c r="AA41" s="8">
        <f>'Employee Payroll'!$C$36/12</f>
        <v>8333.333333</v>
      </c>
      <c r="AB41" s="8">
        <f>'Employee Payroll'!$D$36/12</f>
        <v>12500</v>
      </c>
      <c r="AC41" s="8">
        <f>'Employee Payroll'!$D$36/12</f>
        <v>12500</v>
      </c>
      <c r="AD41" s="8">
        <f>'Employee Payroll'!$D$36/12</f>
        <v>12500</v>
      </c>
      <c r="AE41" s="8">
        <f>'Employee Payroll'!$D$36/12</f>
        <v>12500</v>
      </c>
      <c r="AF41" s="8">
        <f>'Employee Payroll'!$D$36/12</f>
        <v>12500</v>
      </c>
      <c r="AG41" s="8">
        <f>'Employee Payroll'!$D$36/12</f>
        <v>12500</v>
      </c>
      <c r="AH41" s="8">
        <f>'Employee Payroll'!$D$36/12</f>
        <v>12500</v>
      </c>
      <c r="AI41" s="8">
        <f>'Employee Payroll'!$D$36/12</f>
        <v>12500</v>
      </c>
      <c r="AJ41" s="8">
        <f>'Employee Payroll'!$D$36/12</f>
        <v>12500</v>
      </c>
      <c r="AK41" s="8">
        <f>'Employee Payroll'!$D$36/12</f>
        <v>12500</v>
      </c>
      <c r="AL41" s="8">
        <f>'Employee Payroll'!$D$36/12</f>
        <v>12500</v>
      </c>
      <c r="AM41" s="8">
        <f>'Employee Payroll'!$D$36/12</f>
        <v>12500</v>
      </c>
      <c r="AN41" s="2"/>
      <c r="AO41" s="2"/>
      <c r="AP41" s="2"/>
      <c r="AQ41" s="2"/>
      <c r="AR41" s="2"/>
      <c r="AS41" s="2"/>
    </row>
    <row r="42" ht="15.75" customHeight="1">
      <c r="A42" s="1"/>
      <c r="B42" s="1"/>
      <c r="C42" s="2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2"/>
      <c r="AO42" s="2"/>
      <c r="AP42" s="2"/>
      <c r="AQ42" s="2"/>
      <c r="AR42" s="2"/>
      <c r="AS42" s="2"/>
    </row>
    <row r="43" ht="15.75" customHeight="1">
      <c r="A43" s="1"/>
      <c r="B43" s="1" t="s">
        <v>55</v>
      </c>
      <c r="C43" s="2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2"/>
      <c r="AO43" s="2"/>
      <c r="AP43" s="2"/>
      <c r="AQ43" s="2"/>
      <c r="AR43" s="2"/>
      <c r="AS43" s="2"/>
    </row>
    <row r="44" ht="15.75" customHeight="1">
      <c r="A44" s="1"/>
      <c r="B44" s="1"/>
      <c r="C44" s="2" t="s">
        <v>28</v>
      </c>
      <c r="D44" s="8">
        <v>0.0</v>
      </c>
      <c r="E44" s="8">
        <v>0.0</v>
      </c>
      <c r="F44" s="8">
        <v>0.0</v>
      </c>
      <c r="G44" s="8">
        <v>0.0</v>
      </c>
      <c r="H44" s="8">
        <f>'Employee Payroll'!$B$42/12</f>
        <v>15000</v>
      </c>
      <c r="I44" s="8">
        <f>'Employee Payroll'!$B$42/12</f>
        <v>15000</v>
      </c>
      <c r="J44" s="8">
        <f>'Employee Payroll'!$B$42/12</f>
        <v>15000</v>
      </c>
      <c r="K44" s="8">
        <f>'Employee Payroll'!$B$42/12</f>
        <v>15000</v>
      </c>
      <c r="L44" s="8">
        <f>'Employee Payroll'!$B$42/12</f>
        <v>15000</v>
      </c>
      <c r="M44" s="8">
        <f>'Employee Payroll'!$B$42/12</f>
        <v>15000</v>
      </c>
      <c r="N44" s="8">
        <f>'Employee Payroll'!$B$42/12</f>
        <v>15000</v>
      </c>
      <c r="O44" s="8">
        <f>'Employee Payroll'!$B$42/12</f>
        <v>15000</v>
      </c>
      <c r="P44" s="8">
        <f>'Employee Payroll'!$B$42/12</f>
        <v>15000</v>
      </c>
      <c r="Q44" s="8">
        <f>'Employee Payroll'!$B$42/12</f>
        <v>15000</v>
      </c>
      <c r="R44" s="8">
        <f>'Employee Payroll'!$B$42/12</f>
        <v>15000</v>
      </c>
      <c r="S44" s="8">
        <f>'Employee Payroll'!$B$42/12</f>
        <v>15000</v>
      </c>
      <c r="T44" s="8">
        <f>'Employee Payroll'!$B$42/12</f>
        <v>15000</v>
      </c>
      <c r="U44" s="8">
        <f>'Employee Payroll'!$B$42/12</f>
        <v>15000</v>
      </c>
      <c r="V44" s="8">
        <f>'Employee Payroll'!$B$42/12</f>
        <v>15000</v>
      </c>
      <c r="W44" s="8">
        <f>'Employee Payroll'!$B$42/12</f>
        <v>15000</v>
      </c>
      <c r="X44" s="8">
        <f>'Employee Payroll'!$B$42/12</f>
        <v>15000</v>
      </c>
      <c r="Y44" s="8">
        <f>'Employee Payroll'!$B$42/12</f>
        <v>15000</v>
      </c>
      <c r="Z44" s="8">
        <f>'Employee Payroll'!$B$42/12</f>
        <v>15000</v>
      </c>
      <c r="AA44" s="8">
        <f>'Employee Payroll'!$B$42/12</f>
        <v>15000</v>
      </c>
      <c r="AB44" s="8">
        <f>'Employee Payroll'!$B$42/12</f>
        <v>15000</v>
      </c>
      <c r="AC44" s="8">
        <f>'Employee Payroll'!$B$42/12</f>
        <v>15000</v>
      </c>
      <c r="AD44" s="8">
        <f>'Employee Payroll'!$B$42/12</f>
        <v>15000</v>
      </c>
      <c r="AE44" s="8">
        <f>'Employee Payroll'!$B$42/12</f>
        <v>15000</v>
      </c>
      <c r="AF44" s="8">
        <f>'Employee Payroll'!$B$42/12</f>
        <v>15000</v>
      </c>
      <c r="AG44" s="8">
        <f>'Employee Payroll'!$B$42/12</f>
        <v>15000</v>
      </c>
      <c r="AH44" s="8">
        <f>'Employee Payroll'!$B$42/12</f>
        <v>15000</v>
      </c>
      <c r="AI44" s="8">
        <f>'Employee Payroll'!$B$42/12</f>
        <v>15000</v>
      </c>
      <c r="AJ44" s="8">
        <f>'Employee Payroll'!$B$42/12</f>
        <v>15000</v>
      </c>
      <c r="AK44" s="8">
        <f>'Employee Payroll'!$B$42/12</f>
        <v>15000</v>
      </c>
      <c r="AL44" s="8">
        <f>'Employee Payroll'!$B$42/12</f>
        <v>15000</v>
      </c>
      <c r="AM44" s="8">
        <f>'Employee Payroll'!$B$42/12</f>
        <v>15000</v>
      </c>
      <c r="AN44" s="2"/>
      <c r="AO44" s="2"/>
      <c r="AP44" s="2"/>
      <c r="AQ44" s="2"/>
      <c r="AR44" s="2"/>
      <c r="AS44" s="2"/>
    </row>
    <row r="45" ht="15.75" customHeight="1">
      <c r="A45" s="1"/>
      <c r="B45" s="1"/>
      <c r="C45" s="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2"/>
      <c r="AO45" s="2"/>
      <c r="AP45" s="2"/>
      <c r="AQ45" s="2"/>
      <c r="AR45" s="2"/>
      <c r="AS45" s="2"/>
    </row>
    <row r="46" ht="15.75" customHeight="1">
      <c r="A46" s="1"/>
      <c r="B46" s="1" t="s">
        <v>56</v>
      </c>
      <c r="C46" s="2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2"/>
      <c r="AO46" s="2"/>
      <c r="AP46" s="2"/>
      <c r="AQ46" s="2"/>
      <c r="AR46" s="2"/>
      <c r="AS46" s="2"/>
    </row>
    <row r="47" ht="15.75" customHeight="1">
      <c r="A47" s="1"/>
      <c r="B47" s="1"/>
      <c r="C47" s="2" t="s">
        <v>39</v>
      </c>
      <c r="D47" s="8">
        <v>15000.0</v>
      </c>
      <c r="E47" s="8">
        <v>0.0</v>
      </c>
      <c r="F47" s="8">
        <v>0.0</v>
      </c>
      <c r="G47" s="8">
        <v>0.0</v>
      </c>
      <c r="H47" s="8">
        <v>5000.0</v>
      </c>
      <c r="I47" s="8">
        <v>0.0</v>
      </c>
      <c r="J47" s="8">
        <f t="shared" ref="J47:AM47" si="10">50000/12</f>
        <v>4166.666667</v>
      </c>
      <c r="K47" s="8">
        <f t="shared" si="10"/>
        <v>4166.666667</v>
      </c>
      <c r="L47" s="8">
        <f t="shared" si="10"/>
        <v>4166.666667</v>
      </c>
      <c r="M47" s="8">
        <f t="shared" si="10"/>
        <v>4166.666667</v>
      </c>
      <c r="N47" s="8">
        <f t="shared" si="10"/>
        <v>4166.666667</v>
      </c>
      <c r="O47" s="8">
        <f t="shared" si="10"/>
        <v>4166.666667</v>
      </c>
      <c r="P47" s="8">
        <f t="shared" si="10"/>
        <v>4166.666667</v>
      </c>
      <c r="Q47" s="8">
        <f t="shared" si="10"/>
        <v>4166.666667</v>
      </c>
      <c r="R47" s="8">
        <f t="shared" si="10"/>
        <v>4166.666667</v>
      </c>
      <c r="S47" s="8">
        <f t="shared" si="10"/>
        <v>4166.666667</v>
      </c>
      <c r="T47" s="8">
        <f t="shared" si="10"/>
        <v>4166.666667</v>
      </c>
      <c r="U47" s="8">
        <f t="shared" si="10"/>
        <v>4166.666667</v>
      </c>
      <c r="V47" s="8">
        <f t="shared" si="10"/>
        <v>4166.666667</v>
      </c>
      <c r="W47" s="8">
        <f t="shared" si="10"/>
        <v>4166.666667</v>
      </c>
      <c r="X47" s="8">
        <f t="shared" si="10"/>
        <v>4166.666667</v>
      </c>
      <c r="Y47" s="8">
        <f t="shared" si="10"/>
        <v>4166.666667</v>
      </c>
      <c r="Z47" s="8">
        <f t="shared" si="10"/>
        <v>4166.666667</v>
      </c>
      <c r="AA47" s="8">
        <f t="shared" si="10"/>
        <v>4166.666667</v>
      </c>
      <c r="AB47" s="8">
        <f t="shared" si="10"/>
        <v>4166.666667</v>
      </c>
      <c r="AC47" s="8">
        <f t="shared" si="10"/>
        <v>4166.666667</v>
      </c>
      <c r="AD47" s="8">
        <f t="shared" si="10"/>
        <v>4166.666667</v>
      </c>
      <c r="AE47" s="8">
        <f t="shared" si="10"/>
        <v>4166.666667</v>
      </c>
      <c r="AF47" s="8">
        <f t="shared" si="10"/>
        <v>4166.666667</v>
      </c>
      <c r="AG47" s="8">
        <f t="shared" si="10"/>
        <v>4166.666667</v>
      </c>
      <c r="AH47" s="8">
        <f t="shared" si="10"/>
        <v>4166.666667</v>
      </c>
      <c r="AI47" s="8">
        <f t="shared" si="10"/>
        <v>4166.666667</v>
      </c>
      <c r="AJ47" s="8">
        <f t="shared" si="10"/>
        <v>4166.666667</v>
      </c>
      <c r="AK47" s="8">
        <f t="shared" si="10"/>
        <v>4166.666667</v>
      </c>
      <c r="AL47" s="8">
        <f t="shared" si="10"/>
        <v>4166.666667</v>
      </c>
      <c r="AM47" s="8">
        <f t="shared" si="10"/>
        <v>4166.666667</v>
      </c>
      <c r="AN47" s="2"/>
      <c r="AO47" s="2"/>
      <c r="AP47" s="2"/>
      <c r="AQ47" s="2"/>
      <c r="AR47" s="2"/>
      <c r="AS47" s="2"/>
    </row>
    <row r="48" ht="15.75" customHeight="1">
      <c r="A48" s="1"/>
      <c r="B48" s="1"/>
      <c r="C48" s="2" t="s">
        <v>40</v>
      </c>
      <c r="D48" s="8">
        <v>0.0</v>
      </c>
      <c r="E48" s="8">
        <v>0.0</v>
      </c>
      <c r="F48" s="8">
        <f>'Monthly Budget'!$D$33</f>
        <v>70</v>
      </c>
      <c r="G48" s="8">
        <f>'Monthly Budget'!$D$33</f>
        <v>70</v>
      </c>
      <c r="H48" s="8">
        <f>'Monthly Budget'!$D$33</f>
        <v>70</v>
      </c>
      <c r="I48" s="8">
        <f>'Monthly Budget'!$D$33</f>
        <v>70</v>
      </c>
      <c r="J48" s="8">
        <f>'Monthly Budget'!$D$33</f>
        <v>70</v>
      </c>
      <c r="K48" s="8">
        <f>'Monthly Budget'!$D$33</f>
        <v>70</v>
      </c>
      <c r="L48" s="8">
        <f>'Monthly Budget'!$D$33</f>
        <v>70</v>
      </c>
      <c r="M48" s="8">
        <f>'Monthly Budget'!$D$33</f>
        <v>70</v>
      </c>
      <c r="N48" s="8">
        <v>500.0</v>
      </c>
      <c r="O48" s="8">
        <v>500.0</v>
      </c>
      <c r="P48" s="8">
        <v>500.0</v>
      </c>
      <c r="Q48" s="8">
        <v>500.0</v>
      </c>
      <c r="R48" s="8">
        <v>500.0</v>
      </c>
      <c r="S48" s="8">
        <v>500.0</v>
      </c>
      <c r="T48" s="8">
        <v>500.0</v>
      </c>
      <c r="U48" s="8">
        <v>500.0</v>
      </c>
      <c r="V48" s="8">
        <v>500.0</v>
      </c>
      <c r="W48" s="8">
        <v>500.0</v>
      </c>
      <c r="X48" s="8">
        <v>500.0</v>
      </c>
      <c r="Y48" s="8">
        <v>500.0</v>
      </c>
      <c r="Z48" s="8">
        <v>500.0</v>
      </c>
      <c r="AA48" s="8">
        <v>500.0</v>
      </c>
      <c r="AB48" s="8">
        <v>500.0</v>
      </c>
      <c r="AC48" s="8">
        <v>500.0</v>
      </c>
      <c r="AD48" s="8">
        <v>500.0</v>
      </c>
      <c r="AE48" s="8">
        <v>500.0</v>
      </c>
      <c r="AF48" s="8">
        <v>500.0</v>
      </c>
      <c r="AG48" s="8">
        <v>500.0</v>
      </c>
      <c r="AH48" s="8">
        <v>500.0</v>
      </c>
      <c r="AI48" s="8">
        <v>500.0</v>
      </c>
      <c r="AJ48" s="8">
        <v>500.0</v>
      </c>
      <c r="AK48" s="8">
        <v>500.0</v>
      </c>
      <c r="AL48" s="8">
        <v>500.0</v>
      </c>
      <c r="AM48" s="8">
        <v>500.0</v>
      </c>
      <c r="AN48" s="2"/>
      <c r="AO48" s="2"/>
      <c r="AP48" s="2"/>
      <c r="AQ48" s="2"/>
      <c r="AR48" s="2"/>
      <c r="AS48" s="2"/>
    </row>
    <row r="49" ht="15.75" customHeight="1">
      <c r="A49" s="1"/>
      <c r="B49" s="1"/>
      <c r="C49" s="2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2"/>
      <c r="AO49" s="2"/>
      <c r="AP49" s="2"/>
      <c r="AQ49" s="2"/>
      <c r="AR49" s="2"/>
      <c r="AS49" s="2"/>
    </row>
    <row r="50" ht="15.75" customHeight="1">
      <c r="A50" s="1"/>
      <c r="B50" s="1" t="s">
        <v>57</v>
      </c>
      <c r="C50" s="2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2"/>
      <c r="AO50" s="2"/>
      <c r="AP50" s="2"/>
      <c r="AQ50" s="2"/>
      <c r="AR50" s="2"/>
      <c r="AS50" s="2"/>
    </row>
    <row r="51" ht="15.75" customHeight="1">
      <c r="A51" s="1"/>
      <c r="B51" s="1"/>
      <c r="C51" s="2" t="s">
        <v>58</v>
      </c>
      <c r="D51" s="8">
        <v>0.0</v>
      </c>
      <c r="E51" s="8">
        <v>0.0</v>
      </c>
      <c r="F51" s="8">
        <v>0.0</v>
      </c>
      <c r="G51" s="8">
        <v>0.0</v>
      </c>
      <c r="H51" s="8">
        <f>'Monthly Budget'!$D$37</f>
        <v>3000</v>
      </c>
      <c r="I51" s="8">
        <f>'Monthly Budget'!$D$37</f>
        <v>3000</v>
      </c>
      <c r="J51" s="8">
        <f>'Monthly Budget'!$D$37</f>
        <v>3000</v>
      </c>
      <c r="K51" s="8">
        <f>'Monthly Budget'!$D$37</f>
        <v>3000</v>
      </c>
      <c r="L51" s="8">
        <f>'Monthly Budget'!$D$37</f>
        <v>3000</v>
      </c>
      <c r="M51" s="8">
        <f>'Monthly Budget'!$D$37</f>
        <v>3000</v>
      </c>
      <c r="N51" s="8">
        <f>'Monthly Budget'!$D$37</f>
        <v>3000</v>
      </c>
      <c r="O51" s="8">
        <f>'Monthly Budget'!$D$37</f>
        <v>3000</v>
      </c>
      <c r="P51" s="8">
        <f>'Monthly Budget'!$D$37</f>
        <v>3000</v>
      </c>
      <c r="Q51" s="8">
        <f>'Monthly Budget'!$D$37</f>
        <v>3000</v>
      </c>
      <c r="R51" s="8">
        <f>'Monthly Budget'!$D$37</f>
        <v>3000</v>
      </c>
      <c r="S51" s="8">
        <f>'Monthly Budget'!$D$37</f>
        <v>3000</v>
      </c>
      <c r="T51" s="8">
        <f>'Monthly Budget'!$D$37</f>
        <v>3000</v>
      </c>
      <c r="U51" s="8">
        <f>'Monthly Budget'!$D$37</f>
        <v>3000</v>
      </c>
      <c r="V51" s="8">
        <f>'Monthly Budget'!$D$37</f>
        <v>3000</v>
      </c>
      <c r="W51" s="8">
        <f>'Monthly Budget'!$D$37</f>
        <v>3000</v>
      </c>
      <c r="X51" s="8">
        <f>'Monthly Budget'!$D$37</f>
        <v>3000</v>
      </c>
      <c r="Y51" s="8">
        <f>'Monthly Budget'!$D$37</f>
        <v>3000</v>
      </c>
      <c r="Z51" s="8">
        <f>'Monthly Budget'!$D$37</f>
        <v>3000</v>
      </c>
      <c r="AA51" s="8">
        <f>'Monthly Budget'!$D$37</f>
        <v>3000</v>
      </c>
      <c r="AB51" s="8">
        <f>'Monthly Budget'!$D$37</f>
        <v>3000</v>
      </c>
      <c r="AC51" s="8">
        <f>'Monthly Budget'!$D$37</f>
        <v>3000</v>
      </c>
      <c r="AD51" s="8">
        <f>'Monthly Budget'!$D$37</f>
        <v>3000</v>
      </c>
      <c r="AE51" s="8">
        <f>'Monthly Budget'!$D$37</f>
        <v>3000</v>
      </c>
      <c r="AF51" s="8">
        <f>'Monthly Budget'!$D$37</f>
        <v>3000</v>
      </c>
      <c r="AG51" s="8">
        <f>'Monthly Budget'!$D$37</f>
        <v>3000</v>
      </c>
      <c r="AH51" s="8">
        <f>'Monthly Budget'!$D$37</f>
        <v>3000</v>
      </c>
      <c r="AI51" s="8">
        <f>'Monthly Budget'!$D$37</f>
        <v>3000</v>
      </c>
      <c r="AJ51" s="8">
        <f>'Monthly Budget'!$D$37</f>
        <v>3000</v>
      </c>
      <c r="AK51" s="8">
        <f>'Monthly Budget'!$D$37</f>
        <v>3000</v>
      </c>
      <c r="AL51" s="8">
        <f>'Monthly Budget'!$D$37</f>
        <v>3000</v>
      </c>
      <c r="AM51" s="8">
        <f>'Monthly Budget'!$D$37</f>
        <v>3000</v>
      </c>
      <c r="AN51" s="2"/>
      <c r="AO51" s="2"/>
      <c r="AP51" s="2"/>
      <c r="AQ51" s="2"/>
      <c r="AR51" s="2"/>
      <c r="AS51" s="2"/>
    </row>
    <row r="52" ht="15.75" customHeight="1">
      <c r="A52" s="1"/>
      <c r="B52" s="1"/>
      <c r="C52" s="2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2"/>
      <c r="AO52" s="2"/>
      <c r="AP52" s="2"/>
      <c r="AQ52" s="2"/>
      <c r="AR52" s="2"/>
      <c r="AS52" s="2"/>
    </row>
    <row r="53" ht="15.75" customHeight="1">
      <c r="A53" s="1"/>
      <c r="B53" s="1" t="s">
        <v>59</v>
      </c>
      <c r="C53" s="2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2"/>
      <c r="AO53" s="2"/>
      <c r="AP53" s="2"/>
      <c r="AQ53" s="2"/>
      <c r="AR53" s="2"/>
      <c r="AS53" s="2"/>
    </row>
    <row r="54" ht="15.75" customHeight="1">
      <c r="A54" s="1"/>
      <c r="B54" s="1"/>
      <c r="C54" s="2" t="s">
        <v>60</v>
      </c>
      <c r="D54" s="8">
        <v>0.0</v>
      </c>
      <c r="E54" s="8">
        <v>0.0</v>
      </c>
      <c r="F54" s="8">
        <v>0.0</v>
      </c>
      <c r="G54" s="8">
        <v>0.0</v>
      </c>
      <c r="H54" s="8">
        <v>0.0</v>
      </c>
      <c r="I54" s="8">
        <v>0.0</v>
      </c>
      <c r="J54" s="8">
        <f>'Monthly Budget'!$D$40</f>
        <v>1000</v>
      </c>
      <c r="K54" s="8">
        <f>'Monthly Budget'!$D$40</f>
        <v>1000</v>
      </c>
      <c r="L54" s="8">
        <f>'Monthly Budget'!$D$40</f>
        <v>1000</v>
      </c>
      <c r="M54" s="8">
        <f>'Monthly Budget'!$D$40</f>
        <v>1000</v>
      </c>
      <c r="N54" s="8">
        <f>'Monthly Budget'!$D$40</f>
        <v>1000</v>
      </c>
      <c r="O54" s="8">
        <f>'Monthly Budget'!$D$40</f>
        <v>1000</v>
      </c>
      <c r="P54" s="8">
        <v>2500.0</v>
      </c>
      <c r="Q54" s="8">
        <v>2500.0</v>
      </c>
      <c r="R54" s="8">
        <v>2500.0</v>
      </c>
      <c r="S54" s="8">
        <v>2500.0</v>
      </c>
      <c r="T54" s="8">
        <v>2500.0</v>
      </c>
      <c r="U54" s="8">
        <v>2500.0</v>
      </c>
      <c r="V54" s="8">
        <v>2500.0</v>
      </c>
      <c r="W54" s="8">
        <v>2500.0</v>
      </c>
      <c r="X54" s="8">
        <v>2500.0</v>
      </c>
      <c r="Y54" s="8">
        <v>2500.0</v>
      </c>
      <c r="Z54" s="8">
        <v>2500.0</v>
      </c>
      <c r="AA54" s="8">
        <v>2500.0</v>
      </c>
      <c r="AB54" s="8">
        <v>2500.0</v>
      </c>
      <c r="AC54" s="8">
        <v>2500.0</v>
      </c>
      <c r="AD54" s="8">
        <v>2500.0</v>
      </c>
      <c r="AE54" s="8">
        <v>2500.0</v>
      </c>
      <c r="AF54" s="8">
        <v>2500.0</v>
      </c>
      <c r="AG54" s="8">
        <v>2500.0</v>
      </c>
      <c r="AH54" s="8">
        <v>2500.0</v>
      </c>
      <c r="AI54" s="8">
        <v>2500.0</v>
      </c>
      <c r="AJ54" s="8">
        <v>2500.0</v>
      </c>
      <c r="AK54" s="8">
        <v>2500.0</v>
      </c>
      <c r="AL54" s="8">
        <v>2500.0</v>
      </c>
      <c r="AM54" s="8">
        <v>2500.0</v>
      </c>
      <c r="AN54" s="2"/>
      <c r="AO54" s="2"/>
      <c r="AP54" s="2"/>
      <c r="AQ54" s="2"/>
      <c r="AR54" s="2"/>
      <c r="AS54" s="2"/>
    </row>
    <row r="55" ht="15.75" customHeight="1">
      <c r="A55" s="1"/>
      <c r="B55" s="1"/>
      <c r="C55" s="2" t="s">
        <v>61</v>
      </c>
      <c r="D55" s="8">
        <v>0.0</v>
      </c>
      <c r="E55" s="8">
        <v>0.0</v>
      </c>
      <c r="F55" s="8">
        <v>0.0</v>
      </c>
      <c r="G55" s="8">
        <v>0.0</v>
      </c>
      <c r="H55" s="8">
        <v>0.0</v>
      </c>
      <c r="I55" s="8">
        <v>0.0</v>
      </c>
      <c r="J55" s="8">
        <f>'Monthly Budget'!$D$41</f>
        <v>100</v>
      </c>
      <c r="K55" s="8">
        <f>'Monthly Budget'!$D$41</f>
        <v>100</v>
      </c>
      <c r="L55" s="8">
        <f>'Monthly Budget'!$D$41</f>
        <v>100</v>
      </c>
      <c r="M55" s="8">
        <f>'Monthly Budget'!$D$41</f>
        <v>100</v>
      </c>
      <c r="N55" s="8">
        <f>'Monthly Budget'!$D$41</f>
        <v>100</v>
      </c>
      <c r="O55" s="8">
        <f>'Monthly Budget'!$D$41</f>
        <v>100</v>
      </c>
      <c r="P55" s="8">
        <f>'Monthly Budget'!$D$41</f>
        <v>100</v>
      </c>
      <c r="Q55" s="8">
        <f>'Monthly Budget'!$D$41</f>
        <v>100</v>
      </c>
      <c r="R55" s="8">
        <f>'Monthly Budget'!$D$41</f>
        <v>100</v>
      </c>
      <c r="S55" s="8">
        <f>'Monthly Budget'!$D$41</f>
        <v>100</v>
      </c>
      <c r="T55" s="8">
        <f>'Monthly Budget'!$D$41</f>
        <v>100</v>
      </c>
      <c r="U55" s="8">
        <f>'Monthly Budget'!$D$41</f>
        <v>100</v>
      </c>
      <c r="V55" s="8">
        <f>'Monthly Budget'!$D$41</f>
        <v>100</v>
      </c>
      <c r="W55" s="8">
        <f>'Monthly Budget'!$D$41</f>
        <v>100</v>
      </c>
      <c r="X55" s="8">
        <f>'Monthly Budget'!$D$41</f>
        <v>100</v>
      </c>
      <c r="Y55" s="8">
        <f>'Monthly Budget'!$D$41</f>
        <v>100</v>
      </c>
      <c r="Z55" s="8">
        <f>'Monthly Budget'!$D$41</f>
        <v>100</v>
      </c>
      <c r="AA55" s="8">
        <f>'Monthly Budget'!$D$41</f>
        <v>100</v>
      </c>
      <c r="AB55" s="8">
        <f>'Monthly Budget'!$D$41</f>
        <v>100</v>
      </c>
      <c r="AC55" s="8">
        <f>'Monthly Budget'!$D$41</f>
        <v>100</v>
      </c>
      <c r="AD55" s="8">
        <f>'Monthly Budget'!$D$41</f>
        <v>100</v>
      </c>
      <c r="AE55" s="8">
        <f>'Monthly Budget'!$D$41</f>
        <v>100</v>
      </c>
      <c r="AF55" s="8">
        <f>'Monthly Budget'!$D$41</f>
        <v>100</v>
      </c>
      <c r="AG55" s="8">
        <f>'Monthly Budget'!$D$41</f>
        <v>100</v>
      </c>
      <c r="AH55" s="8">
        <f>'Monthly Budget'!$D$41</f>
        <v>100</v>
      </c>
      <c r="AI55" s="8">
        <f>'Monthly Budget'!$D$41</f>
        <v>100</v>
      </c>
      <c r="AJ55" s="8">
        <f>'Monthly Budget'!$D$41</f>
        <v>100</v>
      </c>
      <c r="AK55" s="8">
        <f>'Monthly Budget'!$D$41</f>
        <v>100</v>
      </c>
      <c r="AL55" s="8">
        <f>'Monthly Budget'!$D$41</f>
        <v>100</v>
      </c>
      <c r="AM55" s="8">
        <f>'Monthly Budget'!$D$41</f>
        <v>100</v>
      </c>
      <c r="AN55" s="2"/>
      <c r="AO55" s="2"/>
      <c r="AP55" s="2"/>
      <c r="AQ55" s="2"/>
      <c r="AR55" s="2"/>
      <c r="AS55" s="2"/>
    </row>
    <row r="56" ht="15.75" customHeight="1">
      <c r="A56" s="1"/>
      <c r="B56" s="1"/>
      <c r="C56" s="2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2"/>
      <c r="AO56" s="2"/>
      <c r="AP56" s="2"/>
      <c r="AQ56" s="2"/>
      <c r="AR56" s="2"/>
      <c r="AS56" s="2"/>
    </row>
    <row r="57" ht="15.75" customHeight="1">
      <c r="A57" s="1"/>
      <c r="B57" s="1" t="s">
        <v>62</v>
      </c>
      <c r="C57" s="2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2"/>
      <c r="AO57" s="2"/>
      <c r="AP57" s="2"/>
      <c r="AQ57" s="2"/>
      <c r="AR57" s="2"/>
      <c r="AS57" s="2"/>
    </row>
    <row r="58" ht="15.75" customHeight="1">
      <c r="A58" s="1"/>
      <c r="B58" s="1"/>
      <c r="C58" s="2" t="s">
        <v>42</v>
      </c>
      <c r="D58" s="8">
        <v>0.0</v>
      </c>
      <c r="E58" s="8">
        <v>0.0</v>
      </c>
      <c r="F58" s="8">
        <v>0.0</v>
      </c>
      <c r="G58" s="8">
        <v>0.0</v>
      </c>
      <c r="H58" s="8">
        <f>'Monthly Budget'!$D$45*'Employee Payroll'!$B$40</f>
        <v>33.33333333</v>
      </c>
      <c r="I58" s="8">
        <f>'Monthly Budget'!$D$45*'Employee Payroll'!$B$40</f>
        <v>33.33333333</v>
      </c>
      <c r="J58" s="8">
        <f>'Monthly Budget'!$D$45*4</f>
        <v>66.66666667</v>
      </c>
      <c r="K58" s="8">
        <f>'Monthly Budget'!$D$45*4</f>
        <v>66.66666667</v>
      </c>
      <c r="L58" s="8">
        <f>'Monthly Budget'!$D$45*4</f>
        <v>66.66666667</v>
      </c>
      <c r="M58" s="8">
        <f>'Monthly Budget'!$D$45*4</f>
        <v>66.66666667</v>
      </c>
      <c r="N58" s="8">
        <f>'Monthly Budget'!$D$45*4</f>
        <v>66.66666667</v>
      </c>
      <c r="O58" s="8">
        <f>'Monthly Budget'!$D$45*4</f>
        <v>66.66666667</v>
      </c>
      <c r="P58" s="8">
        <f>'Monthly Budget'!$D$45*'Employee Payroll'!$C$44</f>
        <v>166.6666667</v>
      </c>
      <c r="Q58" s="8">
        <f>'Monthly Budget'!$D$45*'Employee Payroll'!$C$44</f>
        <v>166.6666667</v>
      </c>
      <c r="R58" s="8">
        <f>'Monthly Budget'!$D$45*'Employee Payroll'!$C$44</f>
        <v>166.6666667</v>
      </c>
      <c r="S58" s="8">
        <f>'Monthly Budget'!$D$45*'Employee Payroll'!$C$44</f>
        <v>166.6666667</v>
      </c>
      <c r="T58" s="8">
        <f>'Monthly Budget'!$D$45*'Employee Payroll'!$C$44</f>
        <v>166.6666667</v>
      </c>
      <c r="U58" s="8">
        <f>'Monthly Budget'!$D$45*'Employee Payroll'!$C$44</f>
        <v>166.6666667</v>
      </c>
      <c r="V58" s="8">
        <f>'Monthly Budget'!$D$45*'Employee Payroll'!$C$44</f>
        <v>166.6666667</v>
      </c>
      <c r="W58" s="8">
        <f>'Monthly Budget'!$D$45*'Employee Payroll'!$C$44</f>
        <v>166.6666667</v>
      </c>
      <c r="X58" s="8">
        <f>'Monthly Budget'!$D$45*'Employee Payroll'!$C$44</f>
        <v>166.6666667</v>
      </c>
      <c r="Y58" s="8">
        <f>'Monthly Budget'!$D$45*'Employee Payroll'!$C$44</f>
        <v>166.6666667</v>
      </c>
      <c r="Z58" s="8">
        <f>'Monthly Budget'!$D$45*'Employee Payroll'!$C$44</f>
        <v>166.6666667</v>
      </c>
      <c r="AA58" s="8">
        <f>'Monthly Budget'!$D$45*'Employee Payroll'!$C$44</f>
        <v>166.6666667</v>
      </c>
      <c r="AB58" s="8">
        <f>'Monthly Budget'!$D$45*'Employee Payroll'!$D$44</f>
        <v>266.6666667</v>
      </c>
      <c r="AC58" s="8">
        <f>'Monthly Budget'!$D$45*'Employee Payroll'!$D$44</f>
        <v>266.6666667</v>
      </c>
      <c r="AD58" s="8">
        <f>'Monthly Budget'!$D$45*'Employee Payroll'!$D$44</f>
        <v>266.6666667</v>
      </c>
      <c r="AE58" s="8">
        <f>'Monthly Budget'!$D$45*'Employee Payroll'!$D$44</f>
        <v>266.6666667</v>
      </c>
      <c r="AF58" s="8">
        <f>'Monthly Budget'!$D$45*'Employee Payroll'!$D$44</f>
        <v>266.6666667</v>
      </c>
      <c r="AG58" s="8">
        <f>'Monthly Budget'!$D$45*'Employee Payroll'!$D$44</f>
        <v>266.6666667</v>
      </c>
      <c r="AH58" s="8">
        <f>'Monthly Budget'!$D$45*'Employee Payroll'!$D$44</f>
        <v>266.6666667</v>
      </c>
      <c r="AI58" s="8">
        <f>'Monthly Budget'!$D$45*'Employee Payroll'!$D$44</f>
        <v>266.6666667</v>
      </c>
      <c r="AJ58" s="8">
        <f>'Monthly Budget'!$D$45*'Employee Payroll'!$D$44</f>
        <v>266.6666667</v>
      </c>
      <c r="AK58" s="8">
        <f>'Monthly Budget'!$D$45*'Employee Payroll'!$D$44</f>
        <v>266.6666667</v>
      </c>
      <c r="AL58" s="8">
        <f>'Monthly Budget'!$D$45*'Employee Payroll'!$D$44</f>
        <v>266.6666667</v>
      </c>
      <c r="AM58" s="8">
        <f>'Monthly Budget'!$D$45*'Employee Payroll'!$D$44</f>
        <v>266.6666667</v>
      </c>
      <c r="AN58" s="2"/>
      <c r="AO58" s="2"/>
      <c r="AP58" s="2"/>
      <c r="AQ58" s="2"/>
      <c r="AR58" s="2"/>
      <c r="AS58" s="2"/>
    </row>
    <row r="59" ht="15.75" customHeight="1">
      <c r="A59" s="1"/>
      <c r="B59" s="1"/>
      <c r="C59" s="2" t="s">
        <v>43</v>
      </c>
      <c r="D59" s="8">
        <v>0.0</v>
      </c>
      <c r="E59" s="8">
        <v>0.0</v>
      </c>
      <c r="F59" s="8">
        <v>0.0</v>
      </c>
      <c r="G59" s="8">
        <v>0.0</v>
      </c>
      <c r="H59" s="8">
        <f>'Monthly Budget'!$D$46*2</f>
        <v>2.8</v>
      </c>
      <c r="I59" s="8">
        <f>'Monthly Budget'!$D$46*2</f>
        <v>2.8</v>
      </c>
      <c r="J59" s="8">
        <f>'Monthly Budget'!$D$46*4</f>
        <v>5.6</v>
      </c>
      <c r="K59" s="8">
        <f>'Monthly Budget'!$D$46*4</f>
        <v>5.6</v>
      </c>
      <c r="L59" s="8">
        <f>'Monthly Budget'!$D$46*4</f>
        <v>5.6</v>
      </c>
      <c r="M59" s="8">
        <f>'Monthly Budget'!$D$46*4</f>
        <v>5.6</v>
      </c>
      <c r="N59" s="8">
        <f>'Monthly Budget'!$D$46*4</f>
        <v>5.6</v>
      </c>
      <c r="O59" s="8">
        <f>'Monthly Budget'!$D$46*4</f>
        <v>5.6</v>
      </c>
      <c r="P59" s="8">
        <f>'Monthly Budget'!$D$46*'Employee Payroll'!$C$44</f>
        <v>14</v>
      </c>
      <c r="Q59" s="8">
        <f>'Monthly Budget'!$D$46*'Employee Payroll'!$C$44</f>
        <v>14</v>
      </c>
      <c r="R59" s="8">
        <f>'Monthly Budget'!$D$46*'Employee Payroll'!$C$44</f>
        <v>14</v>
      </c>
      <c r="S59" s="8">
        <f>'Monthly Budget'!$D$46*'Employee Payroll'!$C$44</f>
        <v>14</v>
      </c>
      <c r="T59" s="8">
        <f>'Monthly Budget'!$D$46*'Employee Payroll'!$C$44</f>
        <v>14</v>
      </c>
      <c r="U59" s="8">
        <f>'Monthly Budget'!$D$46*'Employee Payroll'!$C$44</f>
        <v>14</v>
      </c>
      <c r="V59" s="8">
        <f>'Monthly Budget'!$D$46*'Employee Payroll'!$C$44</f>
        <v>14</v>
      </c>
      <c r="W59" s="8">
        <f>'Monthly Budget'!$D$46*'Employee Payroll'!$C$44</f>
        <v>14</v>
      </c>
      <c r="X59" s="8">
        <f>'Monthly Budget'!$D$46*'Employee Payroll'!$C$44</f>
        <v>14</v>
      </c>
      <c r="Y59" s="8">
        <f>'Monthly Budget'!$D$46*'Employee Payroll'!$C$44</f>
        <v>14</v>
      </c>
      <c r="Z59" s="8">
        <f>'Monthly Budget'!$D$46*'Employee Payroll'!$C$44</f>
        <v>14</v>
      </c>
      <c r="AA59" s="8">
        <f>'Monthly Budget'!$D$46*'Employee Payroll'!$C$44</f>
        <v>14</v>
      </c>
      <c r="AB59" s="8">
        <f>'Monthly Budget'!$D$46*'Employee Payroll'!$D$44</f>
        <v>22.4</v>
      </c>
      <c r="AC59" s="8">
        <f>'Monthly Budget'!$D$46*'Employee Payroll'!$D$44</f>
        <v>22.4</v>
      </c>
      <c r="AD59" s="8">
        <f>'Monthly Budget'!$D$46*'Employee Payroll'!$D$44</f>
        <v>22.4</v>
      </c>
      <c r="AE59" s="8">
        <f>'Monthly Budget'!$D$46*'Employee Payroll'!$D$44</f>
        <v>22.4</v>
      </c>
      <c r="AF59" s="8">
        <f>'Monthly Budget'!$D$46*'Employee Payroll'!$D$44</f>
        <v>22.4</v>
      </c>
      <c r="AG59" s="8">
        <f>'Monthly Budget'!$D$46*'Employee Payroll'!$D$44</f>
        <v>22.4</v>
      </c>
      <c r="AH59" s="8">
        <f>'Monthly Budget'!$D$46*'Employee Payroll'!$D$44</f>
        <v>22.4</v>
      </c>
      <c r="AI59" s="8">
        <f>'Monthly Budget'!$D$46*'Employee Payroll'!$D$44</f>
        <v>22.4</v>
      </c>
      <c r="AJ59" s="8">
        <f>'Monthly Budget'!$D$46*'Employee Payroll'!$D$44</f>
        <v>22.4</v>
      </c>
      <c r="AK59" s="8">
        <f>'Monthly Budget'!$D$46*'Employee Payroll'!$D$44</f>
        <v>22.4</v>
      </c>
      <c r="AL59" s="8">
        <f>'Monthly Budget'!$D$46*'Employee Payroll'!$D$44</f>
        <v>22.4</v>
      </c>
      <c r="AM59" s="8">
        <f>'Monthly Budget'!$D$46*'Employee Payroll'!$D$44</f>
        <v>22.4</v>
      </c>
      <c r="AN59" s="2"/>
      <c r="AO59" s="2"/>
      <c r="AP59" s="2"/>
      <c r="AQ59" s="2"/>
      <c r="AR59" s="2"/>
      <c r="AS59" s="2"/>
    </row>
    <row r="60" ht="15.75" customHeight="1">
      <c r="A60" s="1"/>
      <c r="B60" s="1"/>
      <c r="C60" s="2" t="s">
        <v>44</v>
      </c>
      <c r="D60" s="8">
        <v>0.0</v>
      </c>
      <c r="E60" s="8">
        <v>0.0</v>
      </c>
      <c r="F60" s="8">
        <v>0.0</v>
      </c>
      <c r="G60" s="8">
        <v>0.0</v>
      </c>
      <c r="H60" s="8">
        <f>'Monthly Budget'!$D$47*2</f>
        <v>1.44</v>
      </c>
      <c r="I60" s="8">
        <f>'Monthly Budget'!$D$47*2</f>
        <v>1.44</v>
      </c>
      <c r="J60" s="8">
        <f>'Monthly Budget'!$D$47*4</f>
        <v>2.88</v>
      </c>
      <c r="K60" s="8">
        <f>'Monthly Budget'!$D$47*4</f>
        <v>2.88</v>
      </c>
      <c r="L60" s="8">
        <f>'Monthly Budget'!$D$47*4</f>
        <v>2.88</v>
      </c>
      <c r="M60" s="8">
        <f>'Monthly Budget'!$D$47*4</f>
        <v>2.88</v>
      </c>
      <c r="N60" s="8">
        <f>'Monthly Budget'!$D$47*4</f>
        <v>2.88</v>
      </c>
      <c r="O60" s="8">
        <f>'Monthly Budget'!$D$47*4</f>
        <v>2.88</v>
      </c>
      <c r="P60" s="8">
        <f>'Monthly Budget'!$D$47*'Employee Payroll'!$C$44</f>
        <v>7.2</v>
      </c>
      <c r="Q60" s="8">
        <f>'Monthly Budget'!$D$47*'Employee Payroll'!$C$44</f>
        <v>7.2</v>
      </c>
      <c r="R60" s="8">
        <f>'Monthly Budget'!$D$47*'Employee Payroll'!$C$44</f>
        <v>7.2</v>
      </c>
      <c r="S60" s="8">
        <f>'Monthly Budget'!$D$47*'Employee Payroll'!$C$44</f>
        <v>7.2</v>
      </c>
      <c r="T60" s="8">
        <f>'Monthly Budget'!$D$47*'Employee Payroll'!$C$44</f>
        <v>7.2</v>
      </c>
      <c r="U60" s="8">
        <f>'Monthly Budget'!$D$47*'Employee Payroll'!$C$44</f>
        <v>7.2</v>
      </c>
      <c r="V60" s="8">
        <f>'Monthly Budget'!$D$47*'Employee Payroll'!$C$44</f>
        <v>7.2</v>
      </c>
      <c r="W60" s="8">
        <f>'Monthly Budget'!$D$47*'Employee Payroll'!$C$44</f>
        <v>7.2</v>
      </c>
      <c r="X60" s="8">
        <f>'Monthly Budget'!$D$47*'Employee Payroll'!$C$44</f>
        <v>7.2</v>
      </c>
      <c r="Y60" s="8">
        <f>'Monthly Budget'!$D$47*'Employee Payroll'!$C$44</f>
        <v>7.2</v>
      </c>
      <c r="Z60" s="8">
        <f>'Monthly Budget'!$D$47*'Employee Payroll'!$C$44</f>
        <v>7.2</v>
      </c>
      <c r="AA60" s="8">
        <f>'Monthly Budget'!$D$47*'Employee Payroll'!$C$44</f>
        <v>7.2</v>
      </c>
      <c r="AB60" s="8">
        <f>'Monthly Budget'!$D$47*'Employee Payroll'!$D$44</f>
        <v>11.52</v>
      </c>
      <c r="AC60" s="8">
        <f>'Monthly Budget'!$D$47*'Employee Payroll'!$D$44</f>
        <v>11.52</v>
      </c>
      <c r="AD60" s="8">
        <f>'Monthly Budget'!$D$47*'Employee Payroll'!$D$44</f>
        <v>11.52</v>
      </c>
      <c r="AE60" s="8">
        <f>'Monthly Budget'!$D$47*'Employee Payroll'!$D$44</f>
        <v>11.52</v>
      </c>
      <c r="AF60" s="8">
        <f>'Monthly Budget'!$D$47*'Employee Payroll'!$D$44</f>
        <v>11.52</v>
      </c>
      <c r="AG60" s="8">
        <f>'Monthly Budget'!$D$47*'Employee Payroll'!$D$44</f>
        <v>11.52</v>
      </c>
      <c r="AH60" s="8">
        <f>'Monthly Budget'!$D$47*'Employee Payroll'!$D$44</f>
        <v>11.52</v>
      </c>
      <c r="AI60" s="8">
        <f>'Monthly Budget'!$D$47*'Employee Payroll'!$D$44</f>
        <v>11.52</v>
      </c>
      <c r="AJ60" s="8">
        <f>'Monthly Budget'!$D$47*'Employee Payroll'!$D$44</f>
        <v>11.52</v>
      </c>
      <c r="AK60" s="8">
        <f>'Monthly Budget'!$D$47*'Employee Payroll'!$D$44</f>
        <v>11.52</v>
      </c>
      <c r="AL60" s="8">
        <f>'Monthly Budget'!$D$47*'Employee Payroll'!$D$44</f>
        <v>11.52</v>
      </c>
      <c r="AM60" s="8">
        <f>'Monthly Budget'!$D$47*'Employee Payroll'!$D$44</f>
        <v>11.52</v>
      </c>
      <c r="AN60" s="2"/>
      <c r="AO60" s="2"/>
      <c r="AP60" s="2"/>
      <c r="AQ60" s="2"/>
      <c r="AR60" s="2"/>
      <c r="AS60" s="2"/>
    </row>
    <row r="61" ht="15.75" customHeight="1">
      <c r="A61" s="1"/>
      <c r="B61" s="1"/>
      <c r="C61" s="2"/>
      <c r="D61" s="2"/>
      <c r="E61" s="2"/>
      <c r="F61" s="2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2"/>
      <c r="AO61" s="2"/>
      <c r="AP61" s="2"/>
      <c r="AQ61" s="2"/>
      <c r="AR61" s="2"/>
      <c r="AS61" s="2"/>
    </row>
    <row r="62" ht="15.75" customHeight="1">
      <c r="A62" s="1" t="s">
        <v>63</v>
      </c>
      <c r="B62" s="1"/>
      <c r="C62" s="2"/>
      <c r="D62" s="8">
        <f t="shared" ref="D62:AM62" si="11">D21+D27+D28+D31+D32+D35+D36+D37+D38+D41+D44+D47+D48+D51+D54+D55+D58+D59+D60</f>
        <v>21711.33333</v>
      </c>
      <c r="E62" s="8">
        <f t="shared" si="11"/>
        <v>6961.333333</v>
      </c>
      <c r="F62" s="8">
        <f t="shared" si="11"/>
        <v>8031.333333</v>
      </c>
      <c r="G62" s="8">
        <f t="shared" si="11"/>
        <v>18531.33333</v>
      </c>
      <c r="H62" s="8">
        <f t="shared" si="11"/>
        <v>79531.40667</v>
      </c>
      <c r="I62" s="8">
        <f t="shared" si="11"/>
        <v>72523.40667</v>
      </c>
      <c r="J62" s="8">
        <f t="shared" si="11"/>
        <v>46656.81333</v>
      </c>
      <c r="K62" s="8">
        <f t="shared" si="11"/>
        <v>54167.61333</v>
      </c>
      <c r="L62" s="8">
        <f t="shared" si="11"/>
        <v>61375.94667</v>
      </c>
      <c r="M62" s="8">
        <f t="shared" si="11"/>
        <v>97709.28</v>
      </c>
      <c r="N62" s="8">
        <f t="shared" si="11"/>
        <v>103972.6133</v>
      </c>
      <c r="O62" s="8">
        <f t="shared" si="11"/>
        <v>103972.6133</v>
      </c>
      <c r="P62" s="8">
        <f t="shared" si="11"/>
        <v>123965.2405</v>
      </c>
      <c r="Q62" s="8">
        <f t="shared" si="11"/>
        <v>120965.2405</v>
      </c>
      <c r="R62" s="8">
        <f t="shared" si="11"/>
        <v>265084.7577</v>
      </c>
      <c r="S62" s="8">
        <f t="shared" si="11"/>
        <v>265084.7577</v>
      </c>
      <c r="T62" s="8">
        <f t="shared" si="11"/>
        <v>123965.2405</v>
      </c>
      <c r="U62" s="8">
        <f t="shared" si="11"/>
        <v>123965.2405</v>
      </c>
      <c r="V62" s="8">
        <f t="shared" si="11"/>
        <v>123965.2405</v>
      </c>
      <c r="W62" s="8">
        <f t="shared" si="11"/>
        <v>123965.2405</v>
      </c>
      <c r="X62" s="8">
        <f t="shared" si="11"/>
        <v>187631.9071</v>
      </c>
      <c r="Y62" s="8">
        <f t="shared" si="11"/>
        <v>312219.5071</v>
      </c>
      <c r="Z62" s="8">
        <f t="shared" si="11"/>
        <v>312219.5071</v>
      </c>
      <c r="AA62" s="8">
        <f t="shared" si="11"/>
        <v>315219.5071</v>
      </c>
      <c r="AB62" s="8">
        <f t="shared" si="11"/>
        <v>337054.944</v>
      </c>
      <c r="AC62" s="8">
        <f t="shared" si="11"/>
        <v>212467.344</v>
      </c>
      <c r="AD62" s="8">
        <f t="shared" si="11"/>
        <v>212467.344</v>
      </c>
      <c r="AE62" s="8">
        <f t="shared" si="11"/>
        <v>209467.344</v>
      </c>
      <c r="AF62" s="8">
        <f t="shared" si="11"/>
        <v>209467.344</v>
      </c>
      <c r="AG62" s="8">
        <f t="shared" si="11"/>
        <v>209467.344</v>
      </c>
      <c r="AH62" s="8">
        <f t="shared" si="11"/>
        <v>209467.344</v>
      </c>
      <c r="AI62" s="8">
        <f t="shared" si="11"/>
        <v>212467.344</v>
      </c>
      <c r="AJ62" s="8">
        <f t="shared" si="11"/>
        <v>245800.6773</v>
      </c>
      <c r="AK62" s="8">
        <f t="shared" si="11"/>
        <v>245800.6773</v>
      </c>
      <c r="AL62" s="8">
        <f t="shared" si="11"/>
        <v>245800.6773</v>
      </c>
      <c r="AM62" s="8">
        <f t="shared" si="11"/>
        <v>242800.6773</v>
      </c>
      <c r="AN62" s="2"/>
      <c r="AO62" s="2"/>
      <c r="AP62" s="2"/>
      <c r="AQ62" s="2"/>
      <c r="AR62" s="2"/>
      <c r="AS62" s="2"/>
    </row>
    <row r="63" ht="15.75" customHeight="1">
      <c r="A63" s="1"/>
      <c r="B63" s="1"/>
      <c r="C63" s="2"/>
      <c r="D63" s="2"/>
      <c r="E63" s="2"/>
      <c r="F63" s="2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2"/>
      <c r="AO63" s="2"/>
      <c r="AP63" s="2"/>
      <c r="AQ63" s="2"/>
      <c r="AR63" s="2"/>
      <c r="AS63" s="2"/>
    </row>
    <row r="64" ht="15.75" customHeight="1">
      <c r="A64" s="1"/>
      <c r="B64" s="1" t="s">
        <v>64</v>
      </c>
      <c r="C64" s="2"/>
      <c r="D64" s="8">
        <f t="shared" ref="D64:AM64" si="12">D6-D62</f>
        <v>-20447.91333</v>
      </c>
      <c r="E64" s="8">
        <f t="shared" si="12"/>
        <v>-6024.153333</v>
      </c>
      <c r="F64" s="8">
        <f t="shared" si="12"/>
        <v>-5838.143333</v>
      </c>
      <c r="G64" s="8">
        <f t="shared" si="12"/>
        <v>-17925.27333</v>
      </c>
      <c r="H64" s="8">
        <f t="shared" si="12"/>
        <v>-78281.44417</v>
      </c>
      <c r="I64" s="8">
        <f t="shared" si="12"/>
        <v>-63273.44417</v>
      </c>
      <c r="J64" s="8">
        <f t="shared" si="12"/>
        <v>-35256.81333</v>
      </c>
      <c r="K64" s="8">
        <f t="shared" si="12"/>
        <v>-40767.61333</v>
      </c>
      <c r="L64" s="8">
        <f t="shared" si="12"/>
        <v>-33430.11333</v>
      </c>
      <c r="M64" s="8">
        <f t="shared" si="12"/>
        <v>-35453.05193</v>
      </c>
      <c r="N64" s="8">
        <f t="shared" si="12"/>
        <v>-36773.53926</v>
      </c>
      <c r="O64" s="8">
        <f t="shared" si="12"/>
        <v>-33717.71137</v>
      </c>
      <c r="P64" s="8">
        <f t="shared" si="12"/>
        <v>-55887.11547</v>
      </c>
      <c r="Q64" s="8">
        <f t="shared" si="12"/>
        <v>-38548.5738</v>
      </c>
      <c r="R64" s="8">
        <f t="shared" si="12"/>
        <v>-178668.0911</v>
      </c>
      <c r="S64" s="8">
        <f t="shared" si="12"/>
        <v>-176668.0911</v>
      </c>
      <c r="T64" s="8">
        <f t="shared" si="12"/>
        <v>-35548.5738</v>
      </c>
      <c r="U64" s="8">
        <f t="shared" si="12"/>
        <v>-49548.5738</v>
      </c>
      <c r="V64" s="8">
        <f t="shared" si="12"/>
        <v>-49548.5738</v>
      </c>
      <c r="W64" s="8">
        <f t="shared" si="12"/>
        <v>-49548.5738</v>
      </c>
      <c r="X64" s="8">
        <f t="shared" si="12"/>
        <v>-4326.35158</v>
      </c>
      <c r="Y64" s="8">
        <f t="shared" si="12"/>
        <v>-128913.9516</v>
      </c>
      <c r="Z64" s="8">
        <f t="shared" si="12"/>
        <v>-128913.9516</v>
      </c>
      <c r="AA64" s="8">
        <f t="shared" si="12"/>
        <v>-131913.9516</v>
      </c>
      <c r="AB64" s="8">
        <f t="shared" si="12"/>
        <v>-164360.4996</v>
      </c>
      <c r="AC64" s="8">
        <f t="shared" si="12"/>
        <v>-39772.89956</v>
      </c>
      <c r="AD64" s="8">
        <f t="shared" si="12"/>
        <v>-27772.89956</v>
      </c>
      <c r="AE64" s="8">
        <f t="shared" si="12"/>
        <v>-22772.89956</v>
      </c>
      <c r="AF64" s="8">
        <f t="shared" si="12"/>
        <v>-20772.89956</v>
      </c>
      <c r="AG64" s="8">
        <f t="shared" si="12"/>
        <v>-20772.89956</v>
      </c>
      <c r="AH64" s="8">
        <f t="shared" si="12"/>
        <v>-36772.89956</v>
      </c>
      <c r="AI64" s="8">
        <f t="shared" si="12"/>
        <v>-39772.89956</v>
      </c>
      <c r="AJ64" s="8">
        <f t="shared" si="12"/>
        <v>-18661.78844</v>
      </c>
      <c r="AK64" s="8">
        <f t="shared" si="12"/>
        <v>-18661.78844</v>
      </c>
      <c r="AL64" s="8">
        <f t="shared" si="12"/>
        <v>-18661.78844</v>
      </c>
      <c r="AM64" s="8">
        <f t="shared" si="12"/>
        <v>-15661.78844</v>
      </c>
      <c r="AN64" s="2"/>
      <c r="AO64" s="2"/>
      <c r="AP64" s="2"/>
      <c r="AQ64" s="2"/>
      <c r="AR64" s="2"/>
      <c r="AS64" s="2"/>
    </row>
    <row r="65" ht="15.75" customHeight="1">
      <c r="A65" s="2"/>
      <c r="B65" s="2" t="s">
        <v>65</v>
      </c>
      <c r="C65" s="2"/>
      <c r="D65" s="14">
        <f t="shared" ref="D65:AM65" si="13">D64/D6</f>
        <v>-16.18457309</v>
      </c>
      <c r="E65" s="14">
        <f t="shared" si="13"/>
        <v>-6.427957632</v>
      </c>
      <c r="F65" s="14">
        <f t="shared" si="13"/>
        <v>-2.661941434</v>
      </c>
      <c r="G65" s="14">
        <f t="shared" si="13"/>
        <v>-29.57673058</v>
      </c>
      <c r="H65" s="14">
        <f t="shared" si="13"/>
        <v>-62.62703414</v>
      </c>
      <c r="I65" s="14">
        <f t="shared" si="13"/>
        <v>-6.840400074</v>
      </c>
      <c r="J65" s="14">
        <f t="shared" si="13"/>
        <v>-3.092702924</v>
      </c>
      <c r="K65" s="14">
        <f t="shared" si="13"/>
        <v>-3.042359204</v>
      </c>
      <c r="L65" s="14">
        <f t="shared" si="13"/>
        <v>-1.196246787</v>
      </c>
      <c r="M65" s="14">
        <f t="shared" si="13"/>
        <v>-0.5694699635</v>
      </c>
      <c r="N65" s="14">
        <f t="shared" si="13"/>
        <v>-0.5472328267</v>
      </c>
      <c r="O65" s="14">
        <f t="shared" si="13"/>
        <v>-0.4799339325</v>
      </c>
      <c r="P65" s="14">
        <f t="shared" si="13"/>
        <v>-0.8209261855</v>
      </c>
      <c r="Q65" s="14">
        <f t="shared" si="13"/>
        <v>-0.4677278924</v>
      </c>
      <c r="R65" s="14">
        <f t="shared" si="13"/>
        <v>-2.067518894</v>
      </c>
      <c r="S65" s="14">
        <f t="shared" si="13"/>
        <v>-1.998131096</v>
      </c>
      <c r="T65" s="14">
        <f t="shared" si="13"/>
        <v>-0.4020573851</v>
      </c>
      <c r="U65" s="14">
        <f t="shared" si="13"/>
        <v>-0.6658262997</v>
      </c>
      <c r="V65" s="14">
        <f t="shared" si="13"/>
        <v>-0.6658262997</v>
      </c>
      <c r="W65" s="14">
        <f t="shared" si="13"/>
        <v>-0.6658262997</v>
      </c>
      <c r="X65" s="14">
        <f t="shared" si="13"/>
        <v>-0.02360185739</v>
      </c>
      <c r="Y65" s="14">
        <f t="shared" si="13"/>
        <v>-0.7032735653</v>
      </c>
      <c r="Z65" s="14">
        <f t="shared" si="13"/>
        <v>-0.7032735653</v>
      </c>
      <c r="AA65" s="14">
        <f t="shared" si="13"/>
        <v>-0.7196396813</v>
      </c>
      <c r="AB65" s="14">
        <f t="shared" si="13"/>
        <v>-0.9517416735</v>
      </c>
      <c r="AC65" s="14">
        <f t="shared" si="13"/>
        <v>-0.2303079273</v>
      </c>
      <c r="AD65" s="14">
        <f t="shared" si="13"/>
        <v>-0.1503721438</v>
      </c>
      <c r="AE65" s="14">
        <f t="shared" si="13"/>
        <v>-0.1219795245</v>
      </c>
      <c r="AF65" s="14">
        <f t="shared" si="13"/>
        <v>-0.1100874995</v>
      </c>
      <c r="AG65" s="14">
        <f t="shared" si="13"/>
        <v>-0.1100874995</v>
      </c>
      <c r="AH65" s="14">
        <f t="shared" si="13"/>
        <v>-0.2129362046</v>
      </c>
      <c r="AI65" s="14">
        <f t="shared" si="13"/>
        <v>-0.2303079273</v>
      </c>
      <c r="AJ65" s="14">
        <f t="shared" si="13"/>
        <v>-0.08216025242</v>
      </c>
      <c r="AK65" s="14">
        <f t="shared" si="13"/>
        <v>-0.08216025242</v>
      </c>
      <c r="AL65" s="14">
        <f t="shared" si="13"/>
        <v>-0.08216025242</v>
      </c>
      <c r="AM65" s="14">
        <f t="shared" si="13"/>
        <v>-0.0689524745</v>
      </c>
      <c r="AN65" s="2"/>
      <c r="AO65" s="2"/>
      <c r="AP65" s="2"/>
      <c r="AQ65" s="2"/>
      <c r="AR65" s="2"/>
      <c r="AS65" s="2"/>
    </row>
    <row r="66" ht="15.75" customHeight="1">
      <c r="A66" s="1"/>
      <c r="B66" s="1" t="s">
        <v>76</v>
      </c>
      <c r="C66" s="2"/>
      <c r="D66" s="8">
        <f t="shared" ref="D66:AM66" si="14">D62</f>
        <v>21711.33333</v>
      </c>
      <c r="E66" s="8">
        <f t="shared" si="14"/>
        <v>6961.333333</v>
      </c>
      <c r="F66" s="8">
        <f t="shared" si="14"/>
        <v>8031.333333</v>
      </c>
      <c r="G66" s="8">
        <f t="shared" si="14"/>
        <v>18531.33333</v>
      </c>
      <c r="H66" s="8">
        <f t="shared" si="14"/>
        <v>79531.40667</v>
      </c>
      <c r="I66" s="8">
        <f t="shared" si="14"/>
        <v>72523.40667</v>
      </c>
      <c r="J66" s="8">
        <f t="shared" si="14"/>
        <v>46656.81333</v>
      </c>
      <c r="K66" s="8">
        <f t="shared" si="14"/>
        <v>54167.61333</v>
      </c>
      <c r="L66" s="8">
        <f t="shared" si="14"/>
        <v>61375.94667</v>
      </c>
      <c r="M66" s="8">
        <f t="shared" si="14"/>
        <v>97709.28</v>
      </c>
      <c r="N66" s="8">
        <f t="shared" si="14"/>
        <v>103972.6133</v>
      </c>
      <c r="O66" s="8">
        <f t="shared" si="14"/>
        <v>103972.6133</v>
      </c>
      <c r="P66" s="8">
        <f t="shared" si="14"/>
        <v>123965.2405</v>
      </c>
      <c r="Q66" s="8">
        <f t="shared" si="14"/>
        <v>120965.2405</v>
      </c>
      <c r="R66" s="8">
        <f t="shared" si="14"/>
        <v>265084.7577</v>
      </c>
      <c r="S66" s="8">
        <f t="shared" si="14"/>
        <v>265084.7577</v>
      </c>
      <c r="T66" s="8">
        <f t="shared" si="14"/>
        <v>123965.2405</v>
      </c>
      <c r="U66" s="8">
        <f t="shared" si="14"/>
        <v>123965.2405</v>
      </c>
      <c r="V66" s="8">
        <f t="shared" si="14"/>
        <v>123965.2405</v>
      </c>
      <c r="W66" s="8">
        <f t="shared" si="14"/>
        <v>123965.2405</v>
      </c>
      <c r="X66" s="8">
        <f t="shared" si="14"/>
        <v>187631.9071</v>
      </c>
      <c r="Y66" s="8">
        <f t="shared" si="14"/>
        <v>312219.5071</v>
      </c>
      <c r="Z66" s="8">
        <f t="shared" si="14"/>
        <v>312219.5071</v>
      </c>
      <c r="AA66" s="8">
        <f t="shared" si="14"/>
        <v>315219.5071</v>
      </c>
      <c r="AB66" s="8">
        <f t="shared" si="14"/>
        <v>337054.944</v>
      </c>
      <c r="AC66" s="8">
        <f t="shared" si="14"/>
        <v>212467.344</v>
      </c>
      <c r="AD66" s="8">
        <f t="shared" si="14"/>
        <v>212467.344</v>
      </c>
      <c r="AE66" s="8">
        <f t="shared" si="14"/>
        <v>209467.344</v>
      </c>
      <c r="AF66" s="8">
        <f t="shared" si="14"/>
        <v>209467.344</v>
      </c>
      <c r="AG66" s="8">
        <f t="shared" si="14"/>
        <v>209467.344</v>
      </c>
      <c r="AH66" s="8">
        <f t="shared" si="14"/>
        <v>209467.344</v>
      </c>
      <c r="AI66" s="8">
        <f t="shared" si="14"/>
        <v>212467.344</v>
      </c>
      <c r="AJ66" s="8">
        <f t="shared" si="14"/>
        <v>245800.6773</v>
      </c>
      <c r="AK66" s="8">
        <f t="shared" si="14"/>
        <v>245800.6773</v>
      </c>
      <c r="AL66" s="8">
        <f t="shared" si="14"/>
        <v>245800.6773</v>
      </c>
      <c r="AM66" s="8">
        <f t="shared" si="14"/>
        <v>242800.6773</v>
      </c>
      <c r="AN66" s="2"/>
      <c r="AO66" s="2"/>
      <c r="AP66" s="2"/>
      <c r="AQ66" s="2"/>
      <c r="AR66" s="2"/>
      <c r="AS66" s="2"/>
    </row>
    <row r="67" ht="15.75" customHeight="1">
      <c r="A67" s="2"/>
      <c r="B67" s="1" t="s">
        <v>77</v>
      </c>
      <c r="C67" s="2"/>
      <c r="D67" s="2"/>
      <c r="E67" s="2"/>
      <c r="F67" s="2"/>
      <c r="G67" s="8"/>
      <c r="H67" s="8"/>
      <c r="I67" s="8"/>
      <c r="J67" s="8"/>
      <c r="K67" s="8"/>
      <c r="L67" s="8"/>
      <c r="M67" s="8"/>
      <c r="N67" s="8"/>
      <c r="O67" s="8">
        <f>sum(D6:O6)</f>
        <v>267955.8124</v>
      </c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sum(P6:AA6)</f>
        <v>1370217.014</v>
      </c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>
        <f>sum(AB6:AM6)</f>
        <v>2348111.111</v>
      </c>
      <c r="AN67" s="2"/>
      <c r="AO67" s="2"/>
      <c r="AP67" s="2"/>
      <c r="AQ67" s="2"/>
      <c r="AR67" s="2"/>
      <c r="AS67" s="2"/>
    </row>
    <row r="68" ht="15.75" customHeight="1">
      <c r="A68" s="2"/>
      <c r="B68" s="1" t="s">
        <v>78</v>
      </c>
      <c r="C68" s="18"/>
      <c r="D68" s="18"/>
      <c r="E68" s="18"/>
      <c r="F68" s="18"/>
      <c r="G68" s="34"/>
      <c r="H68" s="34"/>
      <c r="I68" s="34"/>
      <c r="J68" s="34"/>
      <c r="K68" s="34"/>
      <c r="L68" s="34"/>
      <c r="M68" s="34"/>
      <c r="N68" s="34"/>
      <c r="O68" s="34">
        <f>sum(D64:O64)</f>
        <v>-407189.2142</v>
      </c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5"/>
      <c r="AA68" s="34">
        <f>sum(P64:AA64)</f>
        <v>-1028034.373</v>
      </c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>
        <f>sum(AB64:AM64)</f>
        <v>-444417.9502</v>
      </c>
      <c r="AN68" s="18"/>
      <c r="AO68" s="2"/>
      <c r="AP68" s="2"/>
      <c r="AQ68" s="2"/>
      <c r="AR68" s="2"/>
      <c r="AS68" s="2"/>
    </row>
    <row r="69" ht="15.75" customHeight="1">
      <c r="A69" s="2"/>
      <c r="B69" s="1" t="s">
        <v>79</v>
      </c>
      <c r="C69" s="2"/>
      <c r="D69" s="2"/>
      <c r="E69" s="2"/>
      <c r="F69" s="2"/>
      <c r="G69" s="8"/>
      <c r="H69" s="8"/>
      <c r="I69" s="8"/>
      <c r="J69" s="8"/>
      <c r="K69" s="8"/>
      <c r="L69" s="8"/>
      <c r="M69" s="8"/>
      <c r="N69" s="8"/>
      <c r="O69" s="8">
        <f>sum(D62:O62)</f>
        <v>675145.0267</v>
      </c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>
        <f>sum(P62:AA62)</f>
        <v>2398251.387</v>
      </c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>
        <f>sum(AB62:AM62)</f>
        <v>2792529.061</v>
      </c>
      <c r="AN69" s="2"/>
      <c r="AO69" s="2"/>
      <c r="AP69" s="2"/>
      <c r="AQ69" s="2"/>
      <c r="AR69" s="2"/>
      <c r="AS69" s="2"/>
    </row>
    <row r="70" ht="15.75" customHeight="1">
      <c r="A70" s="2"/>
      <c r="B70" s="1" t="s">
        <v>80</v>
      </c>
      <c r="C70" s="2"/>
      <c r="D70" s="2"/>
      <c r="E70" s="2"/>
      <c r="F70" s="2"/>
      <c r="G70" s="8"/>
      <c r="H70" s="8"/>
      <c r="I70" s="8"/>
      <c r="J70" s="8"/>
      <c r="K70" s="8"/>
      <c r="L70" s="8"/>
      <c r="M70" s="8"/>
      <c r="N70" s="8"/>
      <c r="O70" s="7">
        <f>(O67-O69)/O67</f>
        <v>-1.519613292</v>
      </c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7">
        <f>(AA67-AA69)/AA67</f>
        <v>-0.7502712071</v>
      </c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7">
        <f>(AM67-AM69)/AM67</f>
        <v>-0.1892661502</v>
      </c>
      <c r="AN70" s="2"/>
      <c r="AO70" s="2"/>
      <c r="AP70" s="2"/>
      <c r="AQ70" s="2"/>
      <c r="AR70" s="2"/>
      <c r="AS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6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ht="15.75" customHeight="1">
      <c r="A78" s="2"/>
      <c r="B78" s="2"/>
      <c r="C78" s="2"/>
      <c r="D78" s="2"/>
      <c r="E78" s="8">
        <f>sum(D64:X64)</f>
        <v>-1045481.732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</row>
    <row r="1001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</row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1.22" defaultRowHeight="15.0"/>
  <cols>
    <col customWidth="1" min="1" max="1" width="21.56"/>
    <col customWidth="1" min="2" max="2" width="19.67"/>
    <col customWidth="1" min="3" max="3" width="21.22"/>
    <col customWidth="1" min="4" max="45" width="10.56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ht="15.75" customHeight="1">
      <c r="A2" s="1" t="s">
        <v>67</v>
      </c>
      <c r="B2" s="1"/>
      <c r="C2" s="2"/>
      <c r="D2" s="2"/>
      <c r="E2" s="17"/>
      <c r="F2" s="1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ht="15.75" customHeight="1">
      <c r="A3" s="1"/>
      <c r="B3" s="24"/>
      <c r="C3" s="2"/>
      <c r="D3" s="2"/>
      <c r="E3" s="2"/>
      <c r="F3" s="1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ht="15.75" customHeight="1">
      <c r="A4" s="1" t="s">
        <v>68</v>
      </c>
      <c r="B4" s="1"/>
      <c r="C4" s="1"/>
      <c r="D4" s="32">
        <v>44197.0</v>
      </c>
      <c r="E4" s="32">
        <v>44228.0</v>
      </c>
      <c r="F4" s="32">
        <v>44256.0</v>
      </c>
      <c r="G4" s="32">
        <v>44287.0</v>
      </c>
      <c r="H4" s="32">
        <v>44317.0</v>
      </c>
      <c r="I4" s="32">
        <v>44348.0</v>
      </c>
      <c r="J4" s="32">
        <v>44378.0</v>
      </c>
      <c r="K4" s="32">
        <v>44409.0</v>
      </c>
      <c r="L4" s="32">
        <v>44440.0</v>
      </c>
      <c r="M4" s="32">
        <v>44470.0</v>
      </c>
      <c r="N4" s="32">
        <v>44501.0</v>
      </c>
      <c r="O4" s="32">
        <v>44531.0</v>
      </c>
      <c r="P4" s="32">
        <v>44562.0</v>
      </c>
      <c r="Q4" s="32">
        <v>44593.0</v>
      </c>
      <c r="R4" s="32">
        <v>44621.0</v>
      </c>
      <c r="S4" s="32">
        <v>44652.0</v>
      </c>
      <c r="T4" s="32">
        <v>44682.0</v>
      </c>
      <c r="U4" s="32">
        <v>44713.0</v>
      </c>
      <c r="V4" s="32">
        <v>44743.0</v>
      </c>
      <c r="W4" s="32">
        <v>44774.0</v>
      </c>
      <c r="X4" s="32">
        <v>44805.0</v>
      </c>
      <c r="Y4" s="32">
        <v>44835.0</v>
      </c>
      <c r="Z4" s="32">
        <v>44866.0</v>
      </c>
      <c r="AA4" s="32">
        <v>44896.0</v>
      </c>
      <c r="AB4" s="32">
        <v>44927.0</v>
      </c>
      <c r="AC4" s="32">
        <v>44958.0</v>
      </c>
      <c r="AD4" s="32">
        <v>44986.0</v>
      </c>
      <c r="AE4" s="32">
        <v>45017.0</v>
      </c>
      <c r="AF4" s="32">
        <v>45047.0</v>
      </c>
      <c r="AG4" s="32">
        <v>45078.0</v>
      </c>
      <c r="AH4" s="32">
        <v>45108.0</v>
      </c>
      <c r="AI4" s="32">
        <v>45139.0</v>
      </c>
      <c r="AJ4" s="32">
        <v>45170.0</v>
      </c>
      <c r="AK4" s="32">
        <v>45200.0</v>
      </c>
      <c r="AL4" s="32">
        <v>45231.0</v>
      </c>
      <c r="AM4" s="32">
        <v>45261.0</v>
      </c>
      <c r="AN4" s="32"/>
      <c r="AO4" s="32"/>
      <c r="AP4" s="32"/>
      <c r="AQ4" s="32"/>
      <c r="AR4" s="32"/>
      <c r="AS4" s="32"/>
    </row>
    <row r="5" ht="15.75" customHeight="1">
      <c r="A5" s="1"/>
      <c r="B5" s="1"/>
      <c r="C5" s="2"/>
      <c r="D5" s="17"/>
      <c r="E5" s="17"/>
      <c r="F5" s="1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ht="15.75" customHeight="1">
      <c r="A6" s="1" t="s">
        <v>3</v>
      </c>
      <c r="B6" s="1"/>
      <c r="C6" s="2"/>
      <c r="D6" s="8">
        <f t="shared" ref="D6:AM6" si="1">SUM(D7:D10)</f>
        <v>1263.42</v>
      </c>
      <c r="E6" s="8">
        <f t="shared" si="1"/>
        <v>937.18</v>
      </c>
      <c r="F6" s="8">
        <f t="shared" si="1"/>
        <v>2193.19</v>
      </c>
      <c r="G6" s="8">
        <f t="shared" si="1"/>
        <v>606.06</v>
      </c>
      <c r="H6" s="8">
        <f t="shared" si="1"/>
        <v>1249.9625</v>
      </c>
      <c r="I6" s="8">
        <f t="shared" si="1"/>
        <v>9249.9625</v>
      </c>
      <c r="J6" s="8">
        <f t="shared" si="1"/>
        <v>11400</v>
      </c>
      <c r="K6" s="8">
        <f t="shared" si="1"/>
        <v>13400</v>
      </c>
      <c r="L6" s="8">
        <f t="shared" si="1"/>
        <v>12452.5</v>
      </c>
      <c r="M6" s="8">
        <f t="shared" si="1"/>
        <v>6649.210526</v>
      </c>
      <c r="N6" s="8">
        <f t="shared" si="1"/>
        <v>8502.777778</v>
      </c>
      <c r="O6" s="8">
        <f t="shared" si="1"/>
        <v>8764.705882</v>
      </c>
      <c r="P6" s="8">
        <f t="shared" si="1"/>
        <v>8578.125</v>
      </c>
      <c r="Q6" s="8">
        <f t="shared" si="1"/>
        <v>18950</v>
      </c>
      <c r="R6" s="8">
        <f t="shared" si="1"/>
        <v>22950</v>
      </c>
      <c r="S6" s="8">
        <f t="shared" si="1"/>
        <v>24950</v>
      </c>
      <c r="T6" s="8">
        <f t="shared" si="1"/>
        <v>24950</v>
      </c>
      <c r="U6" s="8">
        <f t="shared" si="1"/>
        <v>10950</v>
      </c>
      <c r="V6" s="8">
        <f t="shared" si="1"/>
        <v>10950</v>
      </c>
      <c r="W6" s="8">
        <f t="shared" si="1"/>
        <v>10950</v>
      </c>
      <c r="X6" s="8">
        <f t="shared" si="1"/>
        <v>20283.33333</v>
      </c>
      <c r="Y6" s="8">
        <f t="shared" si="1"/>
        <v>20283.33333</v>
      </c>
      <c r="Z6" s="8">
        <f t="shared" si="1"/>
        <v>20283.33333</v>
      </c>
      <c r="AA6" s="8">
        <f t="shared" si="1"/>
        <v>20283.33333</v>
      </c>
      <c r="AB6" s="8">
        <f t="shared" si="1"/>
        <v>22116.66667</v>
      </c>
      <c r="AC6" s="8">
        <f t="shared" si="1"/>
        <v>22116.66667</v>
      </c>
      <c r="AD6" s="8">
        <f t="shared" si="1"/>
        <v>34116.66667</v>
      </c>
      <c r="AE6" s="8">
        <f t="shared" si="1"/>
        <v>36116.66667</v>
      </c>
      <c r="AF6" s="8">
        <f t="shared" si="1"/>
        <v>38116.66667</v>
      </c>
      <c r="AG6" s="8">
        <f t="shared" si="1"/>
        <v>38116.66667</v>
      </c>
      <c r="AH6" s="8">
        <f t="shared" si="1"/>
        <v>22116.66667</v>
      </c>
      <c r="AI6" s="8">
        <f t="shared" si="1"/>
        <v>22116.66667</v>
      </c>
      <c r="AJ6" s="8">
        <f t="shared" si="1"/>
        <v>26783.33333</v>
      </c>
      <c r="AK6" s="8">
        <f t="shared" si="1"/>
        <v>26783.33333</v>
      </c>
      <c r="AL6" s="8">
        <f t="shared" si="1"/>
        <v>26783.33333</v>
      </c>
      <c r="AM6" s="8">
        <f t="shared" si="1"/>
        <v>26783.33333</v>
      </c>
      <c r="AN6" s="2"/>
      <c r="AO6" s="2"/>
      <c r="AP6" s="2"/>
      <c r="AQ6" s="2"/>
      <c r="AR6" s="2"/>
      <c r="AS6" s="2"/>
    </row>
    <row r="7" ht="15.75" customHeight="1">
      <c r="A7" s="1"/>
      <c r="B7" s="9" t="s">
        <v>4</v>
      </c>
      <c r="C7" s="2" t="s">
        <v>5</v>
      </c>
      <c r="D7" s="8">
        <v>1263.42</v>
      </c>
      <c r="E7" s="8">
        <v>937.18</v>
      </c>
      <c r="F7" s="8">
        <v>2193.19</v>
      </c>
      <c r="G7" s="8">
        <v>606.06</v>
      </c>
      <c r="H7" s="8">
        <f>average(D7:G7)</f>
        <v>1249.9625</v>
      </c>
      <c r="I7" s="8">
        <f>H7</f>
        <v>1249.9625</v>
      </c>
      <c r="J7" s="8">
        <f>((((J31)/'Serviceable Obtainable Market'!$B$31)*'Serviceable Obtainable Market'!$B$25*'Serviceable Obtainable Market'!$B$23)*0.35)</f>
        <v>1400</v>
      </c>
      <c r="K7" s="8">
        <f>(((((K31)/'Serviceable Obtainable Market'!$B$31)*'Serviceable Obtainable Market'!$B$25*'Serviceable Obtainable Market'!$B$23)*0.35))</f>
        <v>1400</v>
      </c>
      <c r="L7" s="8">
        <f>(((((L31)/'Serviceable Obtainable Market'!$B$31)*'Serviceable Obtainable Market'!$B$25*'Serviceable Obtainable Market'!$B$23)*0.35))</f>
        <v>1452.5</v>
      </c>
      <c r="M7" s="8">
        <f>((((((M31)/'Serviceable Obtainable Market'!$C$31)*'Serviceable Obtainable Market'!$B$25*'Serviceable Obtainable Market'!$B$23)*0.35))*0.7)</f>
        <v>3649.210526</v>
      </c>
      <c r="N7" s="8">
        <f>((((N31)/'Serviceable Obtainable Market'!$D$31)*'Serviceable Obtainable Market'!$B$25*'Serviceable Obtainable Market'!$B$23)*0.35)</f>
        <v>5502.777778</v>
      </c>
      <c r="O7" s="8">
        <f>((((O31)/'Serviceable Obtainable Market'!$E$31)*'Serviceable Obtainable Market'!$B$25*'Serviceable Obtainable Market'!$B$23)*0.35)</f>
        <v>5764.705882</v>
      </c>
      <c r="P7" s="8">
        <f>((((P31)/'Serviceable Obtainable Market'!$F$31)*'Serviceable Obtainable Market'!$B$25*'Serviceable Obtainable Market'!$B$23)*0.35)</f>
        <v>5578.125</v>
      </c>
      <c r="Q7" s="8">
        <f>((((Q31)/'Serviceable Obtainable Market'!$B$27)*'Serviceable Obtainable Market'!$B$25*'Serviceable Obtainable Market'!$B$23)*0.35)</f>
        <v>5950</v>
      </c>
      <c r="R7" s="8">
        <f>((((R31)/'Serviceable Obtainable Market'!$B$27)*'Serviceable Obtainable Market'!$B$25*'Serviceable Obtainable Market'!$B$23)*0.35)</f>
        <v>5950</v>
      </c>
      <c r="S7" s="8">
        <f>((((S31)/'Serviceable Obtainable Market'!$B$27)*'Serviceable Obtainable Market'!$B$25*'Serviceable Obtainable Market'!$B$23)*0.35)</f>
        <v>5950</v>
      </c>
      <c r="T7" s="8">
        <f>((((T31)/'Serviceable Obtainable Market'!$B$27)*'Serviceable Obtainable Market'!$B$25*'Serviceable Obtainable Market'!$B$23)*0.35)</f>
        <v>5950</v>
      </c>
      <c r="U7" s="8">
        <f>((((U31)/'Serviceable Obtainable Market'!$B$27)*'Serviceable Obtainable Market'!$B$25*'Serviceable Obtainable Market'!$B$23)*0.35)</f>
        <v>5950</v>
      </c>
      <c r="V7" s="8">
        <f>((((V31)/'Serviceable Obtainable Market'!$B$27)*'Serviceable Obtainable Market'!$B$25*'Serviceable Obtainable Market'!$B$23)*0.35)</f>
        <v>5950</v>
      </c>
      <c r="W7" s="8">
        <f>((((W31)/'Serviceable Obtainable Market'!$B$27)*'Serviceable Obtainable Market'!$B$25*'Serviceable Obtainable Market'!$B$23)*0.35)</f>
        <v>5950</v>
      </c>
      <c r="X7" s="8">
        <f>((((X31)/'Serviceable Obtainable Market'!$B$27)*'Serviceable Obtainable Market'!$B$25*'Serviceable Obtainable Market'!$B$23)*0.35)</f>
        <v>15283.33333</v>
      </c>
      <c r="Y7" s="8">
        <f>((((Y31)/'Serviceable Obtainable Market'!$B$27)*'Serviceable Obtainable Market'!$B$25*'Serviceable Obtainable Market'!$B$23)*0.35)</f>
        <v>15283.33333</v>
      </c>
      <c r="Z7" s="8">
        <f>((((Z31)/'Serviceable Obtainable Market'!$B$27)*'Serviceable Obtainable Market'!$B$25*'Serviceable Obtainable Market'!$B$23)*0.35)</f>
        <v>15283.33333</v>
      </c>
      <c r="AA7" s="8">
        <f>((((AA31)/'Serviceable Obtainable Market'!$B$27)*'Serviceable Obtainable Market'!$B$25*'Serviceable Obtainable Market'!$B$23)*0.35)</f>
        <v>15283.33333</v>
      </c>
      <c r="AB7" s="8">
        <f>((((AB31)/'Serviceable Obtainable Market'!$B$27)*'Serviceable Obtainable Market'!$B$25*'Serviceable Obtainable Market'!$B$23)*0.35)</f>
        <v>14116.66667</v>
      </c>
      <c r="AC7" s="8">
        <f>((((AC31)/'Serviceable Obtainable Market'!$B$27)*'Serviceable Obtainable Market'!$B$25*'Serviceable Obtainable Market'!$B$23)*0.35)</f>
        <v>14116.66667</v>
      </c>
      <c r="AD7" s="8">
        <f>((((AD31)/'Serviceable Obtainable Market'!$B$27)*'Serviceable Obtainable Market'!$B$25*'Serviceable Obtainable Market'!$B$23)*0.35)</f>
        <v>14116.66667</v>
      </c>
      <c r="AE7" s="8">
        <f>((((AE31)/'Serviceable Obtainable Market'!$B$27)*'Serviceable Obtainable Market'!$B$25*'Serviceable Obtainable Market'!$B$23)*0.35)</f>
        <v>14116.66667</v>
      </c>
      <c r="AF7" s="8">
        <f>((((AF31)/'Serviceable Obtainable Market'!$B$27)*'Serviceable Obtainable Market'!$B$25*'Serviceable Obtainable Market'!$B$23)*0.35)</f>
        <v>14116.66667</v>
      </c>
      <c r="AG7" s="8">
        <f>((((AG31)/'Serviceable Obtainable Market'!$B$27)*'Serviceable Obtainable Market'!$B$25*'Serviceable Obtainable Market'!$B$23)*0.35)</f>
        <v>14116.66667</v>
      </c>
      <c r="AH7" s="8">
        <f>((((AH31)/'Serviceable Obtainable Market'!$B$27)*'Serviceable Obtainable Market'!$B$25*'Serviceable Obtainable Market'!$B$23)*0.35)</f>
        <v>14116.66667</v>
      </c>
      <c r="AI7" s="8">
        <f>((((AI31)/'Serviceable Obtainable Market'!$B$27)*'Serviceable Obtainable Market'!$B$25*'Serviceable Obtainable Market'!$B$23)*0.35)</f>
        <v>14116.66667</v>
      </c>
      <c r="AJ7" s="8">
        <f>((((AJ31)/'Serviceable Obtainable Market'!$B$27)*'Serviceable Obtainable Market'!$B$25*'Serviceable Obtainable Market'!$B$23)*0.35)</f>
        <v>18783.33333</v>
      </c>
      <c r="AK7" s="8">
        <f>((((AK31)/'Serviceable Obtainable Market'!$B$27)*'Serviceable Obtainable Market'!$B$25*'Serviceable Obtainable Market'!$B$23)*0.35)</f>
        <v>18783.33333</v>
      </c>
      <c r="AL7" s="8">
        <f>((((AL31)/'Serviceable Obtainable Market'!$B$27)*'Serviceable Obtainable Market'!$B$25*'Serviceable Obtainable Market'!$B$23)*0.35)</f>
        <v>18783.33333</v>
      </c>
      <c r="AM7" s="8">
        <f>((((AM31)/'Serviceable Obtainable Market'!$B$27)*'Serviceable Obtainable Market'!$B$25*'Serviceable Obtainable Market'!$B$23)*0.35)</f>
        <v>18783.33333</v>
      </c>
      <c r="AN7" s="8"/>
      <c r="AO7" s="2"/>
      <c r="AP7" s="2"/>
      <c r="AQ7" s="2"/>
      <c r="AR7" s="2"/>
      <c r="AS7" s="2"/>
    </row>
    <row r="8" ht="15.75" customHeight="1">
      <c r="A8" s="1"/>
      <c r="B8" s="36" t="s">
        <v>8</v>
      </c>
      <c r="C8" s="37" t="s">
        <v>9</v>
      </c>
      <c r="D8" s="8">
        <v>0.0</v>
      </c>
      <c r="E8" s="8">
        <v>0.0</v>
      </c>
      <c r="F8" s="8">
        <v>0.0</v>
      </c>
      <c r="G8" s="8">
        <v>0.0</v>
      </c>
      <c r="H8" s="8">
        <v>0.0</v>
      </c>
      <c r="I8" s="8">
        <f>(200*20)+4000</f>
        <v>8000</v>
      </c>
      <c r="J8" s="8">
        <f t="shared" ref="J8:K8" si="2">(200*20)+6000</f>
        <v>10000</v>
      </c>
      <c r="K8" s="8">
        <f t="shared" si="2"/>
        <v>10000</v>
      </c>
      <c r="L8" s="8">
        <f>(200*20)+5000</f>
        <v>9000</v>
      </c>
      <c r="M8" s="8">
        <v>0.0</v>
      </c>
      <c r="N8" s="8">
        <v>0.0</v>
      </c>
      <c r="O8" s="8">
        <v>0.0</v>
      </c>
      <c r="P8" s="8">
        <v>0.0</v>
      </c>
      <c r="Q8" s="8">
        <f>(200*20)+6000</f>
        <v>10000</v>
      </c>
      <c r="R8" s="8">
        <f>(200*20)+8000</f>
        <v>12000</v>
      </c>
      <c r="S8" s="8">
        <f t="shared" ref="S8:T8" si="3">(200*20)+10000</f>
        <v>14000</v>
      </c>
      <c r="T8" s="8">
        <f t="shared" si="3"/>
        <v>14000</v>
      </c>
      <c r="U8" s="8">
        <v>0.0</v>
      </c>
      <c r="V8" s="8">
        <v>0.0</v>
      </c>
      <c r="W8" s="8">
        <v>0.0</v>
      </c>
      <c r="X8" s="8">
        <v>0.0</v>
      </c>
      <c r="Y8" s="8">
        <v>0.0</v>
      </c>
      <c r="Z8" s="8">
        <v>0.0</v>
      </c>
      <c r="AA8" s="8">
        <v>0.0</v>
      </c>
      <c r="AB8" s="8">
        <v>0.0</v>
      </c>
      <c r="AC8" s="8">
        <v>0.0</v>
      </c>
      <c r="AD8" s="8">
        <f>(200*20)+8000</f>
        <v>12000</v>
      </c>
      <c r="AE8" s="8">
        <f>(200*20)+10000</f>
        <v>14000</v>
      </c>
      <c r="AF8" s="8">
        <f t="shared" ref="AF8:AG8" si="4">(200*20)+12000</f>
        <v>16000</v>
      </c>
      <c r="AG8" s="8">
        <f t="shared" si="4"/>
        <v>16000</v>
      </c>
      <c r="AH8" s="8">
        <v>0.0</v>
      </c>
      <c r="AI8" s="8">
        <v>0.0</v>
      </c>
      <c r="AJ8" s="8">
        <v>0.0</v>
      </c>
      <c r="AK8" s="8">
        <v>0.0</v>
      </c>
      <c r="AL8" s="8">
        <v>0.0</v>
      </c>
      <c r="AM8" s="8">
        <v>0.0</v>
      </c>
      <c r="AN8" s="2"/>
      <c r="AO8" s="2"/>
      <c r="AP8" s="2"/>
      <c r="AQ8" s="2"/>
      <c r="AR8" s="2"/>
      <c r="AS8" s="2"/>
    </row>
    <row r="9" ht="15.75" customHeight="1">
      <c r="A9" s="1"/>
      <c r="B9" s="9" t="s">
        <v>10</v>
      </c>
      <c r="C9" s="10" t="s">
        <v>69</v>
      </c>
      <c r="D9" s="8">
        <v>0.0</v>
      </c>
      <c r="E9" s="8">
        <v>0.0</v>
      </c>
      <c r="F9" s="8">
        <v>0.0</v>
      </c>
      <c r="G9" s="8">
        <v>0.0</v>
      </c>
      <c r="H9" s="8">
        <v>0.0</v>
      </c>
      <c r="I9" s="8">
        <v>0.0</v>
      </c>
      <c r="J9" s="8">
        <v>0.0</v>
      </c>
      <c r="K9" s="8">
        <v>2000.0</v>
      </c>
      <c r="L9" s="8">
        <v>2000.0</v>
      </c>
      <c r="M9" s="8">
        <v>2000.0</v>
      </c>
      <c r="N9" s="8">
        <v>2000.0</v>
      </c>
      <c r="O9" s="8">
        <v>2000.0</v>
      </c>
      <c r="P9" s="8">
        <v>2000.0</v>
      </c>
      <c r="Q9" s="8">
        <v>2000.0</v>
      </c>
      <c r="R9" s="8">
        <v>4000.0</v>
      </c>
      <c r="S9" s="8">
        <v>4000.0</v>
      </c>
      <c r="T9" s="8">
        <v>4000.0</v>
      </c>
      <c r="U9" s="8">
        <v>4000.0</v>
      </c>
      <c r="V9" s="8">
        <v>4000.0</v>
      </c>
      <c r="W9" s="8">
        <v>4000.0</v>
      </c>
      <c r="X9" s="8">
        <v>4000.0</v>
      </c>
      <c r="Y9" s="8">
        <v>4000.0</v>
      </c>
      <c r="Z9" s="8">
        <v>4000.0</v>
      </c>
      <c r="AA9" s="8">
        <v>4000.0</v>
      </c>
      <c r="AB9" s="8">
        <v>6000.0</v>
      </c>
      <c r="AC9" s="8">
        <v>6000.0</v>
      </c>
      <c r="AD9" s="8">
        <v>6000.0</v>
      </c>
      <c r="AE9" s="8">
        <v>6000.0</v>
      </c>
      <c r="AF9" s="8">
        <v>6000.0</v>
      </c>
      <c r="AG9" s="8">
        <v>6000.0</v>
      </c>
      <c r="AH9" s="8">
        <v>6000.0</v>
      </c>
      <c r="AI9" s="8">
        <v>6000.0</v>
      </c>
      <c r="AJ9" s="8">
        <v>6000.0</v>
      </c>
      <c r="AK9" s="8">
        <v>6000.0</v>
      </c>
      <c r="AL9" s="8">
        <v>6000.0</v>
      </c>
      <c r="AM9" s="8">
        <v>6000.0</v>
      </c>
      <c r="AN9" s="2"/>
      <c r="AO9" s="2"/>
      <c r="AP9" s="2"/>
      <c r="AQ9" s="2"/>
      <c r="AR9" s="2"/>
      <c r="AS9" s="2"/>
    </row>
    <row r="10" ht="15.75" customHeight="1">
      <c r="A10" s="1"/>
      <c r="B10" s="9" t="s">
        <v>12</v>
      </c>
      <c r="C10" s="2" t="s">
        <v>13</v>
      </c>
      <c r="D10" s="8">
        <v>0.0</v>
      </c>
      <c r="E10" s="8">
        <v>0.0</v>
      </c>
      <c r="F10" s="8">
        <v>0.0</v>
      </c>
      <c r="G10" s="8">
        <v>0.0</v>
      </c>
      <c r="H10" s="8">
        <v>0.0</v>
      </c>
      <c r="I10" s="8">
        <v>0.0</v>
      </c>
      <c r="J10" s="8">
        <v>0.0</v>
      </c>
      <c r="K10" s="8">
        <v>0.0</v>
      </c>
      <c r="L10" s="8">
        <v>0.0</v>
      </c>
      <c r="M10" s="8">
        <v>1000.0</v>
      </c>
      <c r="N10" s="8">
        <v>1000.0</v>
      </c>
      <c r="O10" s="8">
        <v>1000.0</v>
      </c>
      <c r="P10" s="8">
        <v>1000.0</v>
      </c>
      <c r="Q10" s="8">
        <v>1000.0</v>
      </c>
      <c r="R10" s="8">
        <v>1000.0</v>
      </c>
      <c r="S10" s="8">
        <v>1000.0</v>
      </c>
      <c r="T10" s="8">
        <v>1000.0</v>
      </c>
      <c r="U10" s="8">
        <v>1000.0</v>
      </c>
      <c r="V10" s="8">
        <v>1000.0</v>
      </c>
      <c r="W10" s="8">
        <v>1000.0</v>
      </c>
      <c r="X10" s="8">
        <v>1000.0</v>
      </c>
      <c r="Y10" s="8">
        <v>1000.0</v>
      </c>
      <c r="Z10" s="8">
        <v>1000.0</v>
      </c>
      <c r="AA10" s="8">
        <v>1000.0</v>
      </c>
      <c r="AB10" s="8">
        <v>2000.0</v>
      </c>
      <c r="AC10" s="8">
        <v>2000.0</v>
      </c>
      <c r="AD10" s="8">
        <v>2000.0</v>
      </c>
      <c r="AE10" s="8">
        <v>2000.0</v>
      </c>
      <c r="AF10" s="8">
        <v>2000.0</v>
      </c>
      <c r="AG10" s="8">
        <v>2000.0</v>
      </c>
      <c r="AH10" s="8">
        <v>2000.0</v>
      </c>
      <c r="AI10" s="8">
        <v>2000.0</v>
      </c>
      <c r="AJ10" s="8">
        <v>2000.0</v>
      </c>
      <c r="AK10" s="8">
        <v>2000.0</v>
      </c>
      <c r="AL10" s="8">
        <v>2000.0</v>
      </c>
      <c r="AM10" s="8">
        <v>2000.0</v>
      </c>
      <c r="AN10" s="2"/>
      <c r="AO10" s="2"/>
      <c r="AP10" s="2"/>
      <c r="AQ10" s="2"/>
      <c r="AR10" s="2"/>
      <c r="AS10" s="2"/>
    </row>
    <row r="11" ht="15.75" customHeight="1">
      <c r="A11" s="1"/>
      <c r="B11" s="2"/>
      <c r="C11" s="2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2"/>
      <c r="AO11" s="2"/>
      <c r="AP11" s="2"/>
      <c r="AQ11" s="2"/>
      <c r="AR11" s="2"/>
      <c r="AS11" s="2"/>
    </row>
    <row r="12" ht="15.75" customHeight="1">
      <c r="A12" s="1" t="s">
        <v>15</v>
      </c>
      <c r="B12" s="1"/>
      <c r="C12" s="2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2"/>
      <c r="AO12" s="2"/>
      <c r="AP12" s="2"/>
      <c r="AQ12" s="2"/>
      <c r="AR12" s="2"/>
      <c r="AS12" s="2"/>
    </row>
    <row r="13" ht="15.75" customHeight="1">
      <c r="A13" s="1"/>
      <c r="B13" s="1" t="s">
        <v>16</v>
      </c>
      <c r="C13" s="2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2"/>
      <c r="AO13" s="2"/>
      <c r="AP13" s="2"/>
      <c r="AQ13" s="2"/>
      <c r="AR13" s="2"/>
      <c r="AS13" s="2"/>
    </row>
    <row r="14" ht="15.75" customHeight="1">
      <c r="A14" s="1"/>
      <c r="B14" s="2"/>
      <c r="C14" s="10" t="s">
        <v>21</v>
      </c>
      <c r="D14" s="8">
        <v>128.0</v>
      </c>
      <c r="E14" s="8">
        <v>128.0</v>
      </c>
      <c r="F14" s="8">
        <v>128.0</v>
      </c>
      <c r="G14" s="8">
        <v>128.0</v>
      </c>
      <c r="H14" s="8">
        <v>128.0</v>
      </c>
      <c r="I14" s="8">
        <f t="shared" ref="I14:AM14" si="5">370*0.3</f>
        <v>111</v>
      </c>
      <c r="J14" s="8">
        <f t="shared" si="5"/>
        <v>111</v>
      </c>
      <c r="K14" s="8">
        <f t="shared" si="5"/>
        <v>111</v>
      </c>
      <c r="L14" s="8">
        <f t="shared" si="5"/>
        <v>111</v>
      </c>
      <c r="M14" s="8">
        <f t="shared" si="5"/>
        <v>111</v>
      </c>
      <c r="N14" s="8">
        <f t="shared" si="5"/>
        <v>111</v>
      </c>
      <c r="O14" s="8">
        <f t="shared" si="5"/>
        <v>111</v>
      </c>
      <c r="P14" s="8">
        <f t="shared" si="5"/>
        <v>111</v>
      </c>
      <c r="Q14" s="8">
        <f t="shared" si="5"/>
        <v>111</v>
      </c>
      <c r="R14" s="8">
        <f t="shared" si="5"/>
        <v>111</v>
      </c>
      <c r="S14" s="8">
        <f t="shared" si="5"/>
        <v>111</v>
      </c>
      <c r="T14" s="8">
        <f t="shared" si="5"/>
        <v>111</v>
      </c>
      <c r="U14" s="8">
        <f t="shared" si="5"/>
        <v>111</v>
      </c>
      <c r="V14" s="8">
        <f t="shared" si="5"/>
        <v>111</v>
      </c>
      <c r="W14" s="8">
        <f t="shared" si="5"/>
        <v>111</v>
      </c>
      <c r="X14" s="8">
        <f t="shared" si="5"/>
        <v>111</v>
      </c>
      <c r="Y14" s="8">
        <f t="shared" si="5"/>
        <v>111</v>
      </c>
      <c r="Z14" s="8">
        <f t="shared" si="5"/>
        <v>111</v>
      </c>
      <c r="AA14" s="8">
        <f t="shared" si="5"/>
        <v>111</v>
      </c>
      <c r="AB14" s="8">
        <f t="shared" si="5"/>
        <v>111</v>
      </c>
      <c r="AC14" s="8">
        <f t="shared" si="5"/>
        <v>111</v>
      </c>
      <c r="AD14" s="8">
        <f t="shared" si="5"/>
        <v>111</v>
      </c>
      <c r="AE14" s="8">
        <f t="shared" si="5"/>
        <v>111</v>
      </c>
      <c r="AF14" s="8">
        <f t="shared" si="5"/>
        <v>111</v>
      </c>
      <c r="AG14" s="8">
        <f t="shared" si="5"/>
        <v>111</v>
      </c>
      <c r="AH14" s="8">
        <f t="shared" si="5"/>
        <v>111</v>
      </c>
      <c r="AI14" s="8">
        <f t="shared" si="5"/>
        <v>111</v>
      </c>
      <c r="AJ14" s="8">
        <f t="shared" si="5"/>
        <v>111</v>
      </c>
      <c r="AK14" s="8">
        <f t="shared" si="5"/>
        <v>111</v>
      </c>
      <c r="AL14" s="8">
        <f t="shared" si="5"/>
        <v>111</v>
      </c>
      <c r="AM14" s="8">
        <f t="shared" si="5"/>
        <v>111</v>
      </c>
      <c r="AN14" s="2"/>
      <c r="AO14" s="2"/>
      <c r="AP14" s="2"/>
      <c r="AQ14" s="2"/>
      <c r="AR14" s="2"/>
      <c r="AS14" s="2"/>
    </row>
    <row r="15" ht="15.75" customHeight="1">
      <c r="A15" s="2"/>
      <c r="B15" s="2"/>
      <c r="C15" s="1" t="s">
        <v>53</v>
      </c>
      <c r="D15" s="8">
        <f t="shared" ref="D15:AM15" si="6">D14</f>
        <v>128</v>
      </c>
      <c r="E15" s="8">
        <f t="shared" si="6"/>
        <v>128</v>
      </c>
      <c r="F15" s="8">
        <f t="shared" si="6"/>
        <v>128</v>
      </c>
      <c r="G15" s="8">
        <f t="shared" si="6"/>
        <v>128</v>
      </c>
      <c r="H15" s="8">
        <f t="shared" si="6"/>
        <v>128</v>
      </c>
      <c r="I15" s="8">
        <f t="shared" si="6"/>
        <v>111</v>
      </c>
      <c r="J15" s="8">
        <f t="shared" si="6"/>
        <v>111</v>
      </c>
      <c r="K15" s="8">
        <f t="shared" si="6"/>
        <v>111</v>
      </c>
      <c r="L15" s="8">
        <f t="shared" si="6"/>
        <v>111</v>
      </c>
      <c r="M15" s="8">
        <f t="shared" si="6"/>
        <v>111</v>
      </c>
      <c r="N15" s="8">
        <f t="shared" si="6"/>
        <v>111</v>
      </c>
      <c r="O15" s="8">
        <f t="shared" si="6"/>
        <v>111</v>
      </c>
      <c r="P15" s="8">
        <f t="shared" si="6"/>
        <v>111</v>
      </c>
      <c r="Q15" s="8">
        <f t="shared" si="6"/>
        <v>111</v>
      </c>
      <c r="R15" s="8">
        <f t="shared" si="6"/>
        <v>111</v>
      </c>
      <c r="S15" s="8">
        <f t="shared" si="6"/>
        <v>111</v>
      </c>
      <c r="T15" s="8">
        <f t="shared" si="6"/>
        <v>111</v>
      </c>
      <c r="U15" s="8">
        <f t="shared" si="6"/>
        <v>111</v>
      </c>
      <c r="V15" s="8">
        <f t="shared" si="6"/>
        <v>111</v>
      </c>
      <c r="W15" s="8">
        <f t="shared" si="6"/>
        <v>111</v>
      </c>
      <c r="X15" s="8">
        <f t="shared" si="6"/>
        <v>111</v>
      </c>
      <c r="Y15" s="8">
        <f t="shared" si="6"/>
        <v>111</v>
      </c>
      <c r="Z15" s="8">
        <f t="shared" si="6"/>
        <v>111</v>
      </c>
      <c r="AA15" s="8">
        <f t="shared" si="6"/>
        <v>111</v>
      </c>
      <c r="AB15" s="8">
        <f t="shared" si="6"/>
        <v>111</v>
      </c>
      <c r="AC15" s="8">
        <f t="shared" si="6"/>
        <v>111</v>
      </c>
      <c r="AD15" s="8">
        <f t="shared" si="6"/>
        <v>111</v>
      </c>
      <c r="AE15" s="8">
        <f t="shared" si="6"/>
        <v>111</v>
      </c>
      <c r="AF15" s="8">
        <f t="shared" si="6"/>
        <v>111</v>
      </c>
      <c r="AG15" s="8">
        <f t="shared" si="6"/>
        <v>111</v>
      </c>
      <c r="AH15" s="8">
        <f t="shared" si="6"/>
        <v>111</v>
      </c>
      <c r="AI15" s="8">
        <f t="shared" si="6"/>
        <v>111</v>
      </c>
      <c r="AJ15" s="8">
        <f t="shared" si="6"/>
        <v>111</v>
      </c>
      <c r="AK15" s="8">
        <f t="shared" si="6"/>
        <v>111</v>
      </c>
      <c r="AL15" s="8">
        <f t="shared" si="6"/>
        <v>111</v>
      </c>
      <c r="AM15" s="8">
        <f t="shared" si="6"/>
        <v>111</v>
      </c>
      <c r="AN15" s="2"/>
      <c r="AO15" s="2"/>
      <c r="AP15" s="2"/>
      <c r="AQ15" s="2"/>
      <c r="AR15" s="2"/>
      <c r="AS15" s="2"/>
    </row>
    <row r="16" ht="15.75" customHeight="1">
      <c r="A16" s="1"/>
      <c r="B16" s="1"/>
      <c r="C16" s="2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2"/>
      <c r="AO16" s="2"/>
      <c r="AP16" s="2"/>
      <c r="AQ16" s="2"/>
      <c r="AR16" s="2"/>
      <c r="AS16" s="2"/>
    </row>
    <row r="17" ht="15.75" customHeight="1">
      <c r="A17" s="1" t="s">
        <v>24</v>
      </c>
      <c r="B17" s="1"/>
      <c r="C17" s="2"/>
      <c r="D17" s="8">
        <f t="shared" ref="D17:AM17" si="7">D6-D15</f>
        <v>1135.42</v>
      </c>
      <c r="E17" s="8">
        <f t="shared" si="7"/>
        <v>809.18</v>
      </c>
      <c r="F17" s="8">
        <f t="shared" si="7"/>
        <v>2065.19</v>
      </c>
      <c r="G17" s="8">
        <f t="shared" si="7"/>
        <v>478.06</v>
      </c>
      <c r="H17" s="8">
        <f t="shared" si="7"/>
        <v>1121.9625</v>
      </c>
      <c r="I17" s="8">
        <f t="shared" si="7"/>
        <v>9138.9625</v>
      </c>
      <c r="J17" s="8">
        <f t="shared" si="7"/>
        <v>11289</v>
      </c>
      <c r="K17" s="8">
        <f t="shared" si="7"/>
        <v>13289</v>
      </c>
      <c r="L17" s="8">
        <f t="shared" si="7"/>
        <v>12341.5</v>
      </c>
      <c r="M17" s="8">
        <f t="shared" si="7"/>
        <v>6538.210526</v>
      </c>
      <c r="N17" s="8">
        <f t="shared" si="7"/>
        <v>8391.777778</v>
      </c>
      <c r="O17" s="8">
        <f t="shared" si="7"/>
        <v>8653.705882</v>
      </c>
      <c r="P17" s="8">
        <f t="shared" si="7"/>
        <v>8467.125</v>
      </c>
      <c r="Q17" s="8">
        <f t="shared" si="7"/>
        <v>18839</v>
      </c>
      <c r="R17" s="8">
        <f t="shared" si="7"/>
        <v>22839</v>
      </c>
      <c r="S17" s="8">
        <f t="shared" si="7"/>
        <v>24839</v>
      </c>
      <c r="T17" s="8">
        <f t="shared" si="7"/>
        <v>24839</v>
      </c>
      <c r="U17" s="8">
        <f t="shared" si="7"/>
        <v>10839</v>
      </c>
      <c r="V17" s="8">
        <f t="shared" si="7"/>
        <v>10839</v>
      </c>
      <c r="W17" s="8">
        <f t="shared" si="7"/>
        <v>10839</v>
      </c>
      <c r="X17" s="8">
        <f t="shared" si="7"/>
        <v>20172.33333</v>
      </c>
      <c r="Y17" s="8">
        <f t="shared" si="7"/>
        <v>20172.33333</v>
      </c>
      <c r="Z17" s="8">
        <f t="shared" si="7"/>
        <v>20172.33333</v>
      </c>
      <c r="AA17" s="8">
        <f t="shared" si="7"/>
        <v>20172.33333</v>
      </c>
      <c r="AB17" s="8">
        <f t="shared" si="7"/>
        <v>22005.66667</v>
      </c>
      <c r="AC17" s="8">
        <f t="shared" si="7"/>
        <v>22005.66667</v>
      </c>
      <c r="AD17" s="8">
        <f t="shared" si="7"/>
        <v>34005.66667</v>
      </c>
      <c r="AE17" s="8">
        <f t="shared" si="7"/>
        <v>36005.66667</v>
      </c>
      <c r="AF17" s="8">
        <f t="shared" si="7"/>
        <v>38005.66667</v>
      </c>
      <c r="AG17" s="8">
        <f t="shared" si="7"/>
        <v>38005.66667</v>
      </c>
      <c r="AH17" s="8">
        <f t="shared" si="7"/>
        <v>22005.66667</v>
      </c>
      <c r="AI17" s="8">
        <f t="shared" si="7"/>
        <v>22005.66667</v>
      </c>
      <c r="AJ17" s="8">
        <f t="shared" si="7"/>
        <v>26672.33333</v>
      </c>
      <c r="AK17" s="8">
        <f t="shared" si="7"/>
        <v>26672.33333</v>
      </c>
      <c r="AL17" s="8">
        <f t="shared" si="7"/>
        <v>26672.33333</v>
      </c>
      <c r="AM17" s="8">
        <f t="shared" si="7"/>
        <v>26672.33333</v>
      </c>
      <c r="AN17" s="2"/>
      <c r="AO17" s="2"/>
      <c r="AP17" s="2"/>
      <c r="AQ17" s="2"/>
      <c r="AR17" s="2"/>
      <c r="AS17" s="2"/>
    </row>
    <row r="18" ht="15.75" customHeight="1">
      <c r="A18" s="1"/>
      <c r="B18" s="1"/>
      <c r="C18" s="2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2"/>
      <c r="AO18" s="2"/>
      <c r="AP18" s="2"/>
      <c r="AQ18" s="2"/>
      <c r="AR18" s="2"/>
      <c r="AS18" s="2"/>
    </row>
    <row r="19" ht="15.75" customHeight="1">
      <c r="A19" s="1" t="s">
        <v>26</v>
      </c>
      <c r="B19" s="1"/>
      <c r="C19" s="2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2"/>
      <c r="AO19" s="2"/>
      <c r="AP19" s="2"/>
      <c r="AQ19" s="2"/>
      <c r="AR19" s="2"/>
      <c r="AS19" s="2"/>
    </row>
    <row r="20" ht="15.75" customHeight="1">
      <c r="A20" s="1"/>
      <c r="B20" s="1" t="s">
        <v>71</v>
      </c>
      <c r="C20" s="2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2"/>
      <c r="AO20" s="2"/>
      <c r="AP20" s="2"/>
      <c r="AQ20" s="2"/>
      <c r="AR20" s="2"/>
      <c r="AS20" s="2"/>
    </row>
    <row r="21" ht="15.75" customHeight="1">
      <c r="A21" s="1"/>
      <c r="B21" s="1"/>
      <c r="C21" s="2" t="s">
        <v>28</v>
      </c>
      <c r="D21" s="8">
        <v>0.0</v>
      </c>
      <c r="E21" s="8">
        <v>0.0</v>
      </c>
      <c r="F21" s="8">
        <v>0.0</v>
      </c>
      <c r="G21" s="8">
        <v>0.0</v>
      </c>
      <c r="H21" s="8">
        <v>0.0</v>
      </c>
      <c r="I21" s="8">
        <v>0.0</v>
      </c>
      <c r="J21" s="8">
        <v>0.0</v>
      </c>
      <c r="K21" s="8">
        <v>0.0</v>
      </c>
      <c r="L21" s="8">
        <v>0.0</v>
      </c>
      <c r="M21" s="8">
        <v>0.0</v>
      </c>
      <c r="N21" s="8">
        <v>0.0</v>
      </c>
      <c r="O21" s="8">
        <v>0.0</v>
      </c>
      <c r="P21" s="8">
        <f>('Employee Payroll'!$C$10/12)*0.3</f>
        <v>1375</v>
      </c>
      <c r="Q21" s="8">
        <f>('Employee Payroll'!$C$10/12)*0.3</f>
        <v>1375</v>
      </c>
      <c r="R21" s="8">
        <f>('Employee Payroll'!$C$10/12)*0.3</f>
        <v>1375</v>
      </c>
      <c r="S21" s="8">
        <f>('Employee Payroll'!$C$10/12)*0.3</f>
        <v>1375</v>
      </c>
      <c r="T21" s="8">
        <f>('Employee Payroll'!$C$10/12)*0.3</f>
        <v>1375</v>
      </c>
      <c r="U21" s="8">
        <f>('Employee Payroll'!$C$10/12)*0.3</f>
        <v>1375</v>
      </c>
      <c r="V21" s="8">
        <f>('Employee Payroll'!$C$10/12)*0.3</f>
        <v>1375</v>
      </c>
      <c r="W21" s="8">
        <f>('Employee Payroll'!$C$10/12)*0.3</f>
        <v>1375</v>
      </c>
      <c r="X21" s="8">
        <f>('Employee Payroll'!$C$10/12)*0.3</f>
        <v>1375</v>
      </c>
      <c r="Y21" s="8">
        <f>('Employee Payroll'!$C$10/12)*0.3</f>
        <v>1375</v>
      </c>
      <c r="Z21" s="8">
        <f>('Employee Payroll'!$C$10/12)*0.3</f>
        <v>1375</v>
      </c>
      <c r="AA21" s="8">
        <f>('Employee Payroll'!$C$10/12)*0.3</f>
        <v>1375</v>
      </c>
      <c r="AB21" s="8">
        <f>('Employee Payroll'!$D$10/12)*0.3</f>
        <v>5500</v>
      </c>
      <c r="AC21" s="8">
        <f>('Employee Payroll'!$D$10/12)*0.3</f>
        <v>5500</v>
      </c>
      <c r="AD21" s="8">
        <f>('Employee Payroll'!$D$10/12)*0.3</f>
        <v>5500</v>
      </c>
      <c r="AE21" s="8">
        <f>('Employee Payroll'!$D$10/12)*0.3</f>
        <v>5500</v>
      </c>
      <c r="AF21" s="8">
        <f>('Employee Payroll'!$D$10/12)*0.3</f>
        <v>5500</v>
      </c>
      <c r="AG21" s="8">
        <f>('Employee Payroll'!$D$10/12)*0.3</f>
        <v>5500</v>
      </c>
      <c r="AH21" s="8">
        <f>('Employee Payroll'!$D$10/12)*0.3</f>
        <v>5500</v>
      </c>
      <c r="AI21" s="8">
        <f>('Employee Payroll'!$D$10/12)*0.3</f>
        <v>5500</v>
      </c>
      <c r="AJ21" s="8">
        <f>('Employee Payroll'!$D$10/12)*0.3</f>
        <v>5500</v>
      </c>
      <c r="AK21" s="8">
        <f>('Employee Payroll'!$D$10/12)*0.3</f>
        <v>5500</v>
      </c>
      <c r="AL21" s="8">
        <f>('Employee Payroll'!$D$10/12)*0.3</f>
        <v>5500</v>
      </c>
      <c r="AM21" s="8">
        <f>('Employee Payroll'!$D$10/12)*0.3</f>
        <v>5500</v>
      </c>
      <c r="AN21" s="2"/>
      <c r="AO21" s="2"/>
      <c r="AP21" s="2"/>
      <c r="AQ21" s="2"/>
      <c r="AR21" s="2"/>
      <c r="AS21" s="2"/>
    </row>
    <row r="22" ht="15.75" customHeight="1">
      <c r="A22" s="1"/>
      <c r="B22" s="1"/>
      <c r="C22" s="2" t="s">
        <v>29</v>
      </c>
      <c r="D22" s="8">
        <f t="shared" ref="D22:AM22" si="8">(83/12)*0.3</f>
        <v>2.075</v>
      </c>
      <c r="E22" s="8">
        <f t="shared" si="8"/>
        <v>2.075</v>
      </c>
      <c r="F22" s="8">
        <f t="shared" si="8"/>
        <v>2.075</v>
      </c>
      <c r="G22" s="8">
        <f t="shared" si="8"/>
        <v>2.075</v>
      </c>
      <c r="H22" s="8">
        <f t="shared" si="8"/>
        <v>2.075</v>
      </c>
      <c r="I22" s="8">
        <f t="shared" si="8"/>
        <v>2.075</v>
      </c>
      <c r="J22" s="8">
        <f t="shared" si="8"/>
        <v>2.075</v>
      </c>
      <c r="K22" s="8">
        <f t="shared" si="8"/>
        <v>2.075</v>
      </c>
      <c r="L22" s="8">
        <f t="shared" si="8"/>
        <v>2.075</v>
      </c>
      <c r="M22" s="8">
        <f t="shared" si="8"/>
        <v>2.075</v>
      </c>
      <c r="N22" s="8">
        <f t="shared" si="8"/>
        <v>2.075</v>
      </c>
      <c r="O22" s="8">
        <f t="shared" si="8"/>
        <v>2.075</v>
      </c>
      <c r="P22" s="8">
        <f t="shared" si="8"/>
        <v>2.075</v>
      </c>
      <c r="Q22" s="8">
        <f t="shared" si="8"/>
        <v>2.075</v>
      </c>
      <c r="R22" s="8">
        <f t="shared" si="8"/>
        <v>2.075</v>
      </c>
      <c r="S22" s="8">
        <f t="shared" si="8"/>
        <v>2.075</v>
      </c>
      <c r="T22" s="8">
        <f t="shared" si="8"/>
        <v>2.075</v>
      </c>
      <c r="U22" s="8">
        <f t="shared" si="8"/>
        <v>2.075</v>
      </c>
      <c r="V22" s="8">
        <f t="shared" si="8"/>
        <v>2.075</v>
      </c>
      <c r="W22" s="8">
        <f t="shared" si="8"/>
        <v>2.075</v>
      </c>
      <c r="X22" s="8">
        <f t="shared" si="8"/>
        <v>2.075</v>
      </c>
      <c r="Y22" s="8">
        <f t="shared" si="8"/>
        <v>2.075</v>
      </c>
      <c r="Z22" s="8">
        <f t="shared" si="8"/>
        <v>2.075</v>
      </c>
      <c r="AA22" s="8">
        <f t="shared" si="8"/>
        <v>2.075</v>
      </c>
      <c r="AB22" s="8">
        <f t="shared" si="8"/>
        <v>2.075</v>
      </c>
      <c r="AC22" s="8">
        <f t="shared" si="8"/>
        <v>2.075</v>
      </c>
      <c r="AD22" s="8">
        <f t="shared" si="8"/>
        <v>2.075</v>
      </c>
      <c r="AE22" s="8">
        <f t="shared" si="8"/>
        <v>2.075</v>
      </c>
      <c r="AF22" s="8">
        <f t="shared" si="8"/>
        <v>2.075</v>
      </c>
      <c r="AG22" s="8">
        <f t="shared" si="8"/>
        <v>2.075</v>
      </c>
      <c r="AH22" s="8">
        <f t="shared" si="8"/>
        <v>2.075</v>
      </c>
      <c r="AI22" s="8">
        <f t="shared" si="8"/>
        <v>2.075</v>
      </c>
      <c r="AJ22" s="8">
        <f t="shared" si="8"/>
        <v>2.075</v>
      </c>
      <c r="AK22" s="8">
        <f t="shared" si="8"/>
        <v>2.075</v>
      </c>
      <c r="AL22" s="8">
        <f t="shared" si="8"/>
        <v>2.075</v>
      </c>
      <c r="AM22" s="8">
        <f t="shared" si="8"/>
        <v>2.075</v>
      </c>
      <c r="AN22" s="2"/>
      <c r="AO22" s="2"/>
      <c r="AP22" s="2"/>
      <c r="AQ22" s="2"/>
      <c r="AR22" s="2"/>
      <c r="AS22" s="2"/>
    </row>
    <row r="23" ht="15.75" customHeight="1">
      <c r="A23" s="1"/>
      <c r="B23" s="1"/>
      <c r="C23" s="2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2"/>
      <c r="AO23" s="2"/>
      <c r="AP23" s="2"/>
      <c r="AQ23" s="2"/>
      <c r="AR23" s="2"/>
      <c r="AS23" s="2"/>
    </row>
    <row r="24" ht="15.75" customHeight="1">
      <c r="A24" s="1"/>
      <c r="B24" s="1" t="s">
        <v>31</v>
      </c>
      <c r="C24" s="2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2"/>
      <c r="AO24" s="2"/>
      <c r="AP24" s="2"/>
      <c r="AQ24" s="2"/>
      <c r="AR24" s="2"/>
      <c r="AS24" s="2"/>
    </row>
    <row r="25" ht="15.75" customHeight="1">
      <c r="A25" s="1"/>
      <c r="B25" s="1"/>
      <c r="C25" s="2" t="s">
        <v>28</v>
      </c>
      <c r="D25" s="8">
        <v>0.0</v>
      </c>
      <c r="E25" s="8">
        <v>0.0</v>
      </c>
      <c r="F25" s="8">
        <v>0.0</v>
      </c>
      <c r="G25" s="8">
        <v>0.0</v>
      </c>
      <c r="H25" s="8">
        <v>0.0</v>
      </c>
      <c r="I25" s="8">
        <v>0.0</v>
      </c>
      <c r="J25" s="8">
        <v>0.0</v>
      </c>
      <c r="K25" s="8">
        <v>0.0</v>
      </c>
      <c r="L25" s="8">
        <v>0.0</v>
      </c>
      <c r="M25" s="8">
        <v>0.0</v>
      </c>
      <c r="N25" s="8">
        <f>('Employee Payroll'!$B$24/12)*0.3</f>
        <v>1750</v>
      </c>
      <c r="O25" s="8">
        <f>('Employee Payroll'!$B$24/12)*0.3</f>
        <v>1750</v>
      </c>
      <c r="P25" s="8">
        <f>('Employee Payroll'!$C$24/12)*0.3</f>
        <v>4625</v>
      </c>
      <c r="Q25" s="8">
        <f>('Employee Payroll'!$C$24/12)*0.3</f>
        <v>4625</v>
      </c>
      <c r="R25" s="8">
        <f>('Employee Payroll'!$C$24/12)*0.3</f>
        <v>4625</v>
      </c>
      <c r="S25" s="8">
        <f>('Employee Payroll'!$C$24/12)*0.3</f>
        <v>4625</v>
      </c>
      <c r="T25" s="8">
        <f>('Employee Payroll'!$C$24/12)*0.3</f>
        <v>4625</v>
      </c>
      <c r="U25" s="8">
        <f>('Employee Payroll'!$C$24/12)*0.3</f>
        <v>4625</v>
      </c>
      <c r="V25" s="8">
        <f>('Employee Payroll'!$C$24/12)*0.3</f>
        <v>4625</v>
      </c>
      <c r="W25" s="8">
        <f>('Employee Payroll'!$C$24/12)*0.3</f>
        <v>4625</v>
      </c>
      <c r="X25" s="8">
        <f>('Employee Payroll'!$C$24/12)*0.3</f>
        <v>4625</v>
      </c>
      <c r="Y25" s="8">
        <f>('Employee Payroll'!$C$24/12)*0.3</f>
        <v>4625</v>
      </c>
      <c r="Z25" s="8">
        <f>('Employee Payroll'!$C$24/12)*0.3</f>
        <v>4625</v>
      </c>
      <c r="AA25" s="8">
        <f>('Employee Payroll'!$C$24/12)*0.3</f>
        <v>4625</v>
      </c>
      <c r="AB25" s="8">
        <f>('Employee Payroll'!$D$24/12)*0.3</f>
        <v>5750</v>
      </c>
      <c r="AC25" s="8">
        <f>('Employee Payroll'!$D$24/12)*0.3</f>
        <v>5750</v>
      </c>
      <c r="AD25" s="8">
        <f>('Employee Payroll'!$D$24/12)*0.3</f>
        <v>5750</v>
      </c>
      <c r="AE25" s="8">
        <f>('Employee Payroll'!$D$24/12)*0.3</f>
        <v>5750</v>
      </c>
      <c r="AF25" s="8">
        <f>('Employee Payroll'!$D$24/12)*0.3</f>
        <v>5750</v>
      </c>
      <c r="AG25" s="8">
        <f>('Employee Payroll'!$D$24/12)*0.3</f>
        <v>5750</v>
      </c>
      <c r="AH25" s="8">
        <f>('Employee Payroll'!$D$24/12)*0.3</f>
        <v>5750</v>
      </c>
      <c r="AI25" s="8">
        <f>('Employee Payroll'!$D$24/12)*0.3</f>
        <v>5750</v>
      </c>
      <c r="AJ25" s="8">
        <f>('Employee Payroll'!$D$24/12)*0.3</f>
        <v>5750</v>
      </c>
      <c r="AK25" s="8">
        <f>('Employee Payroll'!$D$24/12)*0.3</f>
        <v>5750</v>
      </c>
      <c r="AL25" s="8">
        <f>('Employee Payroll'!$D$24/12)*0.3</f>
        <v>5750</v>
      </c>
      <c r="AM25" s="8">
        <f>('Employee Payroll'!$D$24/12)*0.3</f>
        <v>5750</v>
      </c>
      <c r="AN25" s="2"/>
      <c r="AO25" s="2"/>
      <c r="AP25" s="2"/>
      <c r="AQ25" s="2"/>
      <c r="AR25" s="2"/>
      <c r="AS25" s="2"/>
    </row>
    <row r="26" ht="15.75" customHeight="1">
      <c r="A26" s="1"/>
      <c r="B26" s="1"/>
      <c r="C26" s="2" t="s">
        <v>72</v>
      </c>
      <c r="D26" s="8">
        <v>0.0</v>
      </c>
      <c r="E26" s="8">
        <v>0.0</v>
      </c>
      <c r="F26" s="8">
        <v>0.0</v>
      </c>
      <c r="G26" s="8">
        <v>0.0</v>
      </c>
      <c r="H26" s="8">
        <v>0.0</v>
      </c>
      <c r="I26" s="8">
        <v>0.0</v>
      </c>
      <c r="J26" s="8">
        <v>0.0</v>
      </c>
      <c r="K26" s="8">
        <v>0.0</v>
      </c>
      <c r="L26" s="8">
        <v>0.0</v>
      </c>
      <c r="M26" s="8">
        <v>0.0</v>
      </c>
      <c r="N26" s="8">
        <v>0.0</v>
      </c>
      <c r="O26" s="8">
        <v>0.0</v>
      </c>
      <c r="P26" s="8">
        <v>0.0</v>
      </c>
      <c r="Q26" s="8">
        <v>0.0</v>
      </c>
      <c r="R26" s="8">
        <v>0.0</v>
      </c>
      <c r="S26" s="8">
        <v>0.0</v>
      </c>
      <c r="T26" s="8">
        <v>0.0</v>
      </c>
      <c r="U26" s="8">
        <v>0.0</v>
      </c>
      <c r="V26" s="8">
        <v>0.0</v>
      </c>
      <c r="W26" s="8">
        <v>0.0</v>
      </c>
      <c r="X26" s="8">
        <v>0.0</v>
      </c>
      <c r="Y26" s="8">
        <v>0.0</v>
      </c>
      <c r="Z26" s="8">
        <v>0.0</v>
      </c>
      <c r="AA26" s="8">
        <v>0.0</v>
      </c>
      <c r="AB26" s="8">
        <v>0.0</v>
      </c>
      <c r="AC26" s="8">
        <v>0.0</v>
      </c>
      <c r="AD26" s="8">
        <v>0.0</v>
      </c>
      <c r="AE26" s="8">
        <v>0.0</v>
      </c>
      <c r="AF26" s="8">
        <v>0.0</v>
      </c>
      <c r="AG26" s="8">
        <v>0.0</v>
      </c>
      <c r="AH26" s="8">
        <v>0.0</v>
      </c>
      <c r="AI26" s="8">
        <v>0.0</v>
      </c>
      <c r="AJ26" s="8">
        <v>0.0</v>
      </c>
      <c r="AK26" s="8">
        <v>0.0</v>
      </c>
      <c r="AL26" s="8">
        <v>0.0</v>
      </c>
      <c r="AM26" s="8">
        <v>0.0</v>
      </c>
      <c r="AN26" s="2"/>
      <c r="AO26" s="2"/>
      <c r="AP26" s="2"/>
      <c r="AQ26" s="2"/>
      <c r="AR26" s="2"/>
      <c r="AS26" s="2"/>
    </row>
    <row r="27" ht="15.75" customHeight="1">
      <c r="A27" s="1"/>
      <c r="B27" s="1"/>
      <c r="C27" s="2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2"/>
      <c r="AO27" s="2"/>
      <c r="AP27" s="2"/>
      <c r="AQ27" s="2"/>
      <c r="AR27" s="2"/>
      <c r="AS27" s="2"/>
    </row>
    <row r="28" ht="15.75" customHeight="1">
      <c r="A28" s="1"/>
      <c r="B28" s="1" t="s">
        <v>32</v>
      </c>
      <c r="C28" s="2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2"/>
      <c r="AO28" s="2"/>
      <c r="AP28" s="2"/>
      <c r="AQ28" s="2"/>
      <c r="AR28" s="2"/>
      <c r="AS28" s="2"/>
    </row>
    <row r="29" ht="15.75" customHeight="1">
      <c r="A29" s="1"/>
      <c r="B29" s="1"/>
      <c r="C29" s="2" t="s">
        <v>28</v>
      </c>
      <c r="D29" s="8">
        <v>0.0</v>
      </c>
      <c r="E29" s="8">
        <v>0.0</v>
      </c>
      <c r="F29" s="8">
        <v>0.0</v>
      </c>
      <c r="G29" s="8">
        <v>0.0</v>
      </c>
      <c r="H29" s="8">
        <v>0.0</v>
      </c>
      <c r="I29" s="8">
        <v>0.0</v>
      </c>
      <c r="J29" s="8">
        <f>('Employee Payroll'!$B$29/12)*0.3</f>
        <v>0</v>
      </c>
      <c r="K29" s="8">
        <f>('Employee Payroll'!$B$29/12)*0.3</f>
        <v>0</v>
      </c>
      <c r="L29" s="8">
        <f>('Employee Payroll'!$B$29/12)*0.3</f>
        <v>0</v>
      </c>
      <c r="M29" s="8">
        <f>('Employee Payroll'!$B$29/12)*0.3</f>
        <v>0</v>
      </c>
      <c r="N29" s="8">
        <f>('Employee Payroll'!$B$29/12)*0.3</f>
        <v>0</v>
      </c>
      <c r="O29" s="8">
        <f>('Employee Payroll'!$B$29/12)*0.3</f>
        <v>0</v>
      </c>
      <c r="P29" s="8">
        <f>('Employee Payroll'!$C$30/12)*0.3</f>
        <v>1250</v>
      </c>
      <c r="Q29" s="8">
        <f>('Employee Payroll'!$C$30/12)*0.3</f>
        <v>1250</v>
      </c>
      <c r="R29" s="8">
        <f>('Employee Payroll'!$C$30/12)*0.3</f>
        <v>1250</v>
      </c>
      <c r="S29" s="8">
        <f>('Employee Payroll'!$C$30/12)*0.3</f>
        <v>1250</v>
      </c>
      <c r="T29" s="8">
        <f>('Employee Payroll'!$C$30/12)*0.3</f>
        <v>1250</v>
      </c>
      <c r="U29" s="8">
        <f>('Employee Payroll'!$C$30/12)*0.3</f>
        <v>1250</v>
      </c>
      <c r="V29" s="8">
        <f>('Employee Payroll'!$C$30/12)*0.3</f>
        <v>1250</v>
      </c>
      <c r="W29" s="8">
        <f>('Employee Payroll'!$C$30/12)*0.3</f>
        <v>1250</v>
      </c>
      <c r="X29" s="8">
        <f>('Employee Payroll'!$C$30/12)*0.3</f>
        <v>1250</v>
      </c>
      <c r="Y29" s="8">
        <f>('Employee Payroll'!$C$30/12)*0.3</f>
        <v>1250</v>
      </c>
      <c r="Z29" s="8">
        <f>('Employee Payroll'!$C$30/12)*0.3</f>
        <v>1250</v>
      </c>
      <c r="AA29" s="8">
        <f>('Employee Payroll'!$C$30/12)*0.3</f>
        <v>1250</v>
      </c>
      <c r="AB29" s="8">
        <f>('Employee Payroll'!$D$30/12)*0.3</f>
        <v>3750</v>
      </c>
      <c r="AC29" s="8">
        <f>('Employee Payroll'!$D$30/12)*0.3</f>
        <v>3750</v>
      </c>
      <c r="AD29" s="8">
        <f>('Employee Payroll'!$D$30/12)*0.3</f>
        <v>3750</v>
      </c>
      <c r="AE29" s="8">
        <f>('Employee Payroll'!$D$30/12)*0.3</f>
        <v>3750</v>
      </c>
      <c r="AF29" s="8">
        <f>('Employee Payroll'!$D$30/12)*0.3</f>
        <v>3750</v>
      </c>
      <c r="AG29" s="8">
        <f>('Employee Payroll'!$D$30/12)*0.3</f>
        <v>3750</v>
      </c>
      <c r="AH29" s="8">
        <f>('Employee Payroll'!$D$30/12)*0.3</f>
        <v>3750</v>
      </c>
      <c r="AI29" s="8">
        <f>('Employee Payroll'!$D$30/12)*0.3</f>
        <v>3750</v>
      </c>
      <c r="AJ29" s="8">
        <f>('Employee Payroll'!$D$30/12)*0.3</f>
        <v>3750</v>
      </c>
      <c r="AK29" s="8">
        <f>('Employee Payroll'!$D$30/12)*0.3</f>
        <v>3750</v>
      </c>
      <c r="AL29" s="8">
        <f>('Employee Payroll'!$D$30/12)*0.3</f>
        <v>3750</v>
      </c>
      <c r="AM29" s="8">
        <f>('Employee Payroll'!$D$30/12)*0.3</f>
        <v>3750</v>
      </c>
      <c r="AN29" s="2"/>
      <c r="AO29" s="2"/>
      <c r="AP29" s="2"/>
      <c r="AQ29" s="2"/>
      <c r="AR29" s="2"/>
      <c r="AS29" s="2"/>
    </row>
    <row r="30" ht="15.75" customHeight="1">
      <c r="A30" s="1"/>
      <c r="B30" s="1"/>
      <c r="C30" s="2" t="s">
        <v>73</v>
      </c>
      <c r="D30" s="8">
        <v>500.0</v>
      </c>
      <c r="E30" s="8">
        <v>750.0</v>
      </c>
      <c r="F30" s="8">
        <v>750.0</v>
      </c>
      <c r="G30" s="8">
        <v>500.0</v>
      </c>
      <c r="H30" s="8">
        <v>500.0</v>
      </c>
      <c r="I30" s="8">
        <v>1000.0</v>
      </c>
      <c r="J30" s="8">
        <f t="shared" ref="J30:O30" si="9">1000*0.3</f>
        <v>300</v>
      </c>
      <c r="K30" s="8">
        <f t="shared" si="9"/>
        <v>300</v>
      </c>
      <c r="L30" s="8">
        <f t="shared" si="9"/>
        <v>300</v>
      </c>
      <c r="M30" s="8">
        <f t="shared" si="9"/>
        <v>300</v>
      </c>
      <c r="N30" s="8">
        <f t="shared" si="9"/>
        <v>300</v>
      </c>
      <c r="O30" s="8">
        <f t="shared" si="9"/>
        <v>300</v>
      </c>
      <c r="P30" s="8">
        <f t="shared" ref="P30:AM30" si="10">1500*0.3</f>
        <v>450</v>
      </c>
      <c r="Q30" s="8">
        <f t="shared" si="10"/>
        <v>450</v>
      </c>
      <c r="R30" s="8">
        <f t="shared" si="10"/>
        <v>450</v>
      </c>
      <c r="S30" s="8">
        <f t="shared" si="10"/>
        <v>450</v>
      </c>
      <c r="T30" s="8">
        <f t="shared" si="10"/>
        <v>450</v>
      </c>
      <c r="U30" s="8">
        <f t="shared" si="10"/>
        <v>450</v>
      </c>
      <c r="V30" s="8">
        <f t="shared" si="10"/>
        <v>450</v>
      </c>
      <c r="W30" s="8">
        <f t="shared" si="10"/>
        <v>450</v>
      </c>
      <c r="X30" s="8">
        <f t="shared" si="10"/>
        <v>450</v>
      </c>
      <c r="Y30" s="8">
        <f t="shared" si="10"/>
        <v>450</v>
      </c>
      <c r="Z30" s="8">
        <f t="shared" si="10"/>
        <v>450</v>
      </c>
      <c r="AA30" s="8">
        <f t="shared" si="10"/>
        <v>450</v>
      </c>
      <c r="AB30" s="8">
        <f t="shared" si="10"/>
        <v>450</v>
      </c>
      <c r="AC30" s="8">
        <f t="shared" si="10"/>
        <v>450</v>
      </c>
      <c r="AD30" s="8">
        <f t="shared" si="10"/>
        <v>450</v>
      </c>
      <c r="AE30" s="8">
        <f t="shared" si="10"/>
        <v>450</v>
      </c>
      <c r="AF30" s="8">
        <f t="shared" si="10"/>
        <v>450</v>
      </c>
      <c r="AG30" s="8">
        <f t="shared" si="10"/>
        <v>450</v>
      </c>
      <c r="AH30" s="8">
        <f t="shared" si="10"/>
        <v>450</v>
      </c>
      <c r="AI30" s="8">
        <f t="shared" si="10"/>
        <v>450</v>
      </c>
      <c r="AJ30" s="8">
        <f t="shared" si="10"/>
        <v>450</v>
      </c>
      <c r="AK30" s="8">
        <f t="shared" si="10"/>
        <v>450</v>
      </c>
      <c r="AL30" s="8">
        <f t="shared" si="10"/>
        <v>450</v>
      </c>
      <c r="AM30" s="8">
        <f t="shared" si="10"/>
        <v>450</v>
      </c>
      <c r="AN30" s="2"/>
      <c r="AO30" s="2"/>
      <c r="AP30" s="2"/>
      <c r="AQ30" s="2"/>
      <c r="AR30" s="2"/>
      <c r="AS30" s="2"/>
    </row>
    <row r="31" ht="15.75" customHeight="1">
      <c r="A31" s="1"/>
      <c r="B31" s="1"/>
      <c r="C31" s="2" t="s">
        <v>75</v>
      </c>
      <c r="D31" s="8">
        <v>3000.0</v>
      </c>
      <c r="E31" s="8">
        <v>3000.0</v>
      </c>
      <c r="F31" s="33">
        <v>4000.0</v>
      </c>
      <c r="G31" s="8">
        <v>4000.0</v>
      </c>
      <c r="H31" s="33">
        <v>4000.0</v>
      </c>
      <c r="I31" s="33">
        <v>4000.0</v>
      </c>
      <c r="J31" s="33">
        <v>4000.0</v>
      </c>
      <c r="K31" s="33">
        <v>4000.0</v>
      </c>
      <c r="L31" s="8">
        <f>'BLENDED 3 Year Monthly Projecti'!L38*0.3</f>
        <v>4150</v>
      </c>
      <c r="M31" s="8">
        <f>'BLENDED 3 Year Monthly Projecti'!M38*0.3</f>
        <v>14150</v>
      </c>
      <c r="N31" s="8">
        <f>'BLENDED 3 Year Monthly Projecti'!N38*0.3</f>
        <v>14150</v>
      </c>
      <c r="O31" s="8">
        <f>'BLENDED 3 Year Monthly Projecti'!O38*0.3</f>
        <v>14000</v>
      </c>
      <c r="P31" s="8">
        <f>'BLENDED 3 Year Monthly Projecti'!P38*0.3</f>
        <v>12750</v>
      </c>
      <c r="Q31" s="8">
        <f>'BLENDED 3 Year Monthly Projecti'!Q38*0.3</f>
        <v>12750</v>
      </c>
      <c r="R31" s="8">
        <f>'BLENDED 3 Year Monthly Projecti'!R38*0.3</f>
        <v>12750</v>
      </c>
      <c r="S31" s="8">
        <f>'BLENDED 3 Year Monthly Projecti'!S38*0.3</f>
        <v>12750</v>
      </c>
      <c r="T31" s="8">
        <f>'BLENDED 3 Year Monthly Projecti'!T38*0.3</f>
        <v>12750</v>
      </c>
      <c r="U31" s="8">
        <f>'BLENDED 3 Year Monthly Projecti'!U38*0.3</f>
        <v>12750</v>
      </c>
      <c r="V31" s="8">
        <f>'BLENDED 3 Year Monthly Projecti'!V38*0.3</f>
        <v>12750</v>
      </c>
      <c r="W31" s="8">
        <f>'BLENDED 3 Year Monthly Projecti'!W38*0.3</f>
        <v>12750</v>
      </c>
      <c r="X31" s="8">
        <f>'BLENDED 3 Year Monthly Projecti'!X38*0.3</f>
        <v>32750</v>
      </c>
      <c r="Y31" s="8">
        <f>'BLENDED 3 Year Monthly Projecti'!Y38*0.3</f>
        <v>32750</v>
      </c>
      <c r="Z31" s="8">
        <f>'BLENDED 3 Year Monthly Projecti'!Z38*0.3</f>
        <v>32750</v>
      </c>
      <c r="AA31" s="8">
        <f>'BLENDED 3 Year Monthly Projecti'!AA38*0.3</f>
        <v>32750</v>
      </c>
      <c r="AB31" s="8">
        <f>'BLENDED 3 Year Monthly Projecti'!AB38*0.3</f>
        <v>30250</v>
      </c>
      <c r="AC31" s="8">
        <f>'BLENDED 3 Year Monthly Projecti'!AC38*0.3</f>
        <v>30250</v>
      </c>
      <c r="AD31" s="8">
        <f>'BLENDED 3 Year Monthly Projecti'!AD38*0.3</f>
        <v>30250</v>
      </c>
      <c r="AE31" s="8">
        <f>'BLENDED 3 Year Monthly Projecti'!AE38*0.3</f>
        <v>30250</v>
      </c>
      <c r="AF31" s="8">
        <f>'BLENDED 3 Year Monthly Projecti'!AF38*0.3</f>
        <v>30250</v>
      </c>
      <c r="AG31" s="8">
        <f>'BLENDED 3 Year Monthly Projecti'!AG38*0.3</f>
        <v>30250</v>
      </c>
      <c r="AH31" s="8">
        <f>'BLENDED 3 Year Monthly Projecti'!AH38*0.3</f>
        <v>30250</v>
      </c>
      <c r="AI31" s="8">
        <f>'BLENDED 3 Year Monthly Projecti'!AI38*0.3</f>
        <v>30250</v>
      </c>
      <c r="AJ31" s="8">
        <f>'BLENDED 3 Year Monthly Projecti'!AJ38*0.3</f>
        <v>40250</v>
      </c>
      <c r="AK31" s="8">
        <f>'BLENDED 3 Year Monthly Projecti'!AK38*0.3</f>
        <v>40250</v>
      </c>
      <c r="AL31" s="8">
        <f>'BLENDED 3 Year Monthly Projecti'!AL38*0.3</f>
        <v>40250</v>
      </c>
      <c r="AM31" s="8">
        <f>'BLENDED 3 Year Monthly Projecti'!AM38*0.3</f>
        <v>40250</v>
      </c>
      <c r="AN31" s="2"/>
      <c r="AO31" s="2"/>
      <c r="AP31" s="2"/>
      <c r="AQ31" s="2"/>
      <c r="AR31" s="2"/>
      <c r="AS31" s="2"/>
    </row>
    <row r="32" ht="15.75" customHeight="1">
      <c r="A32" s="1"/>
      <c r="B32" s="1"/>
      <c r="C32" s="2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2"/>
      <c r="AO32" s="2"/>
      <c r="AP32" s="2"/>
      <c r="AQ32" s="2"/>
      <c r="AR32" s="2"/>
      <c r="AS32" s="2"/>
    </row>
    <row r="33" ht="15.75" customHeight="1">
      <c r="A33" s="1"/>
      <c r="B33" s="9" t="s">
        <v>36</v>
      </c>
      <c r="C33" s="2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2"/>
      <c r="AO33" s="2"/>
      <c r="AP33" s="2"/>
      <c r="AQ33" s="2"/>
      <c r="AR33" s="2"/>
      <c r="AS33" s="2"/>
    </row>
    <row r="34" ht="15.75" customHeight="1">
      <c r="A34" s="1"/>
      <c r="B34" s="1"/>
      <c r="C34" s="2" t="s">
        <v>28</v>
      </c>
      <c r="D34" s="8">
        <v>0.0</v>
      </c>
      <c r="E34" s="8">
        <v>0.0</v>
      </c>
      <c r="F34" s="8">
        <v>0.0</v>
      </c>
      <c r="G34" s="8">
        <v>0.0</v>
      </c>
      <c r="H34" s="8">
        <v>0.0</v>
      </c>
      <c r="I34" s="8">
        <v>0.0</v>
      </c>
      <c r="J34" s="8">
        <f>'Employee Payroll'!B35/12</f>
        <v>4166.666667</v>
      </c>
      <c r="K34" s="8">
        <f>'Employee Payroll'!$B$35/12</f>
        <v>4166.666667</v>
      </c>
      <c r="L34" s="8">
        <f>'Employee Payroll'!$B$35/12</f>
        <v>4166.666667</v>
      </c>
      <c r="M34" s="8">
        <f>'Employee Payroll'!$B$35/12</f>
        <v>4166.666667</v>
      </c>
      <c r="N34" s="8">
        <f>'Employee Payroll'!$B$35/12</f>
        <v>4166.666667</v>
      </c>
      <c r="O34" s="8">
        <f>'Employee Payroll'!$B$35/12</f>
        <v>4166.666667</v>
      </c>
      <c r="P34" s="8">
        <f>'Employee Payroll'!$C$36/12</f>
        <v>8333.333333</v>
      </c>
      <c r="Q34" s="8">
        <f>'Employee Payroll'!$C$36/12</f>
        <v>8333.333333</v>
      </c>
      <c r="R34" s="8">
        <f>'Employee Payroll'!$C$36/12</f>
        <v>8333.333333</v>
      </c>
      <c r="S34" s="8">
        <f>'Employee Payroll'!$C$36/12</f>
        <v>8333.333333</v>
      </c>
      <c r="T34" s="8">
        <f>'Employee Payroll'!$C$36/12</f>
        <v>8333.333333</v>
      </c>
      <c r="U34" s="8">
        <f>'Employee Payroll'!$C$36/12</f>
        <v>8333.333333</v>
      </c>
      <c r="V34" s="8">
        <f>'Employee Payroll'!$C$36/12</f>
        <v>8333.333333</v>
      </c>
      <c r="W34" s="8">
        <f>'Employee Payroll'!$C$36/12</f>
        <v>8333.333333</v>
      </c>
      <c r="X34" s="8">
        <f>'Employee Payroll'!$C$36/12</f>
        <v>8333.333333</v>
      </c>
      <c r="Y34" s="8">
        <f>'Employee Payroll'!$C$36/12</f>
        <v>8333.333333</v>
      </c>
      <c r="Z34" s="8">
        <f>'Employee Payroll'!$C$36/12</f>
        <v>8333.333333</v>
      </c>
      <c r="AA34" s="8">
        <f>'Employee Payroll'!$C$36/12</f>
        <v>8333.333333</v>
      </c>
      <c r="AB34" s="8">
        <f>'Employee Payroll'!$D$36/12</f>
        <v>12500</v>
      </c>
      <c r="AC34" s="8">
        <f>'Employee Payroll'!$D$36/12</f>
        <v>12500</v>
      </c>
      <c r="AD34" s="8">
        <f>'Employee Payroll'!$D$36/12</f>
        <v>12500</v>
      </c>
      <c r="AE34" s="8">
        <f>'Employee Payroll'!$D$36/12</f>
        <v>12500</v>
      </c>
      <c r="AF34" s="8">
        <f>'Employee Payroll'!$D$36/12</f>
        <v>12500</v>
      </c>
      <c r="AG34" s="8">
        <f>'Employee Payroll'!$D$36/12</f>
        <v>12500</v>
      </c>
      <c r="AH34" s="8">
        <f>'Employee Payroll'!$D$36/12</f>
        <v>12500</v>
      </c>
      <c r="AI34" s="8">
        <f>'Employee Payroll'!$D$36/12</f>
        <v>12500</v>
      </c>
      <c r="AJ34" s="8">
        <f>'Employee Payroll'!$D$36/12</f>
        <v>12500</v>
      </c>
      <c r="AK34" s="8">
        <f>'Employee Payroll'!$D$36/12</f>
        <v>12500</v>
      </c>
      <c r="AL34" s="8">
        <f>'Employee Payroll'!$D$36/12</f>
        <v>12500</v>
      </c>
      <c r="AM34" s="8">
        <f>'Employee Payroll'!$D$36/12</f>
        <v>12500</v>
      </c>
      <c r="AN34" s="2"/>
      <c r="AO34" s="2"/>
      <c r="AP34" s="2"/>
      <c r="AQ34" s="2"/>
      <c r="AR34" s="2"/>
      <c r="AS34" s="2"/>
    </row>
    <row r="35" ht="15.75" customHeight="1">
      <c r="A35" s="1"/>
      <c r="B35" s="1"/>
      <c r="C35" s="2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2"/>
      <c r="AO35" s="2"/>
      <c r="AP35" s="2"/>
      <c r="AQ35" s="2"/>
      <c r="AR35" s="2"/>
      <c r="AS35" s="2"/>
    </row>
    <row r="36" ht="15.75" customHeight="1">
      <c r="A36" s="1"/>
      <c r="B36" s="1" t="s">
        <v>55</v>
      </c>
      <c r="C36" s="2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2"/>
      <c r="AO36" s="2"/>
      <c r="AP36" s="2"/>
      <c r="AQ36" s="2"/>
      <c r="AR36" s="2"/>
      <c r="AS36" s="2"/>
    </row>
    <row r="37" ht="15.75" customHeight="1">
      <c r="A37" s="1"/>
      <c r="B37" s="1"/>
      <c r="C37" s="2" t="s">
        <v>28</v>
      </c>
      <c r="D37" s="8">
        <v>0.0</v>
      </c>
      <c r="E37" s="8">
        <v>0.0</v>
      </c>
      <c r="F37" s="8">
        <v>0.0</v>
      </c>
      <c r="G37" s="8">
        <v>0.0</v>
      </c>
      <c r="H37" s="8">
        <f>('Employee Payroll'!$B$42/12)*0.3</f>
        <v>4500</v>
      </c>
      <c r="I37" s="8">
        <f>('Employee Payroll'!$B$42/12)*0.3</f>
        <v>4500</v>
      </c>
      <c r="J37" s="8">
        <f>('Employee Payroll'!$B$42/12)*0.3</f>
        <v>4500</v>
      </c>
      <c r="K37" s="8">
        <f>('Employee Payroll'!$B$42/12)*0.3</f>
        <v>4500</v>
      </c>
      <c r="L37" s="8">
        <f>('Employee Payroll'!$B$42/12)*0.3</f>
        <v>4500</v>
      </c>
      <c r="M37" s="8">
        <f>('Employee Payroll'!$B$42/12)*0.3</f>
        <v>4500</v>
      </c>
      <c r="N37" s="8">
        <f>('Employee Payroll'!$B$42/12)*0.3</f>
        <v>4500</v>
      </c>
      <c r="O37" s="8">
        <f>('Employee Payroll'!$B$42/12)*0.3</f>
        <v>4500</v>
      </c>
      <c r="P37" s="8">
        <f>('Employee Payroll'!$B$42/12)*0.3</f>
        <v>4500</v>
      </c>
      <c r="Q37" s="8">
        <f>('Employee Payroll'!$B$42/12)*0.3</f>
        <v>4500</v>
      </c>
      <c r="R37" s="8">
        <f>('Employee Payroll'!$B$42/12)*0.3</f>
        <v>4500</v>
      </c>
      <c r="S37" s="8">
        <f>('Employee Payroll'!$B$42/12)*0.3</f>
        <v>4500</v>
      </c>
      <c r="T37" s="8">
        <f>('Employee Payroll'!$B$42/12)*0.3</f>
        <v>4500</v>
      </c>
      <c r="U37" s="8">
        <f>('Employee Payroll'!$B$42/12)*0.3</f>
        <v>4500</v>
      </c>
      <c r="V37" s="8">
        <f>('Employee Payroll'!$B$42/12)*0.3</f>
        <v>4500</v>
      </c>
      <c r="W37" s="8">
        <f>('Employee Payroll'!$B$42/12)*0.3</f>
        <v>4500</v>
      </c>
      <c r="X37" s="8">
        <f>('Employee Payroll'!$B$42/12)*0.3</f>
        <v>4500</v>
      </c>
      <c r="Y37" s="8">
        <f>('Employee Payroll'!$B$42/12)*0.3</f>
        <v>4500</v>
      </c>
      <c r="Z37" s="8">
        <f>('Employee Payroll'!$B$42/12)*0.3</f>
        <v>4500</v>
      </c>
      <c r="AA37" s="8">
        <f>('Employee Payroll'!$B$42/12)*0.3</f>
        <v>4500</v>
      </c>
      <c r="AB37" s="8">
        <f>('Employee Payroll'!$B$42/12)*0.3</f>
        <v>4500</v>
      </c>
      <c r="AC37" s="8">
        <f>('Employee Payroll'!$B$42/12)*0.3</f>
        <v>4500</v>
      </c>
      <c r="AD37" s="8">
        <f>('Employee Payroll'!$B$42/12)*0.3</f>
        <v>4500</v>
      </c>
      <c r="AE37" s="8">
        <f>('Employee Payroll'!$B$42/12)*0.3</f>
        <v>4500</v>
      </c>
      <c r="AF37" s="8">
        <f>('Employee Payroll'!$B$42/12)*0.3</f>
        <v>4500</v>
      </c>
      <c r="AG37" s="8">
        <f>('Employee Payroll'!$B$42/12)*0.3</f>
        <v>4500</v>
      </c>
      <c r="AH37" s="8">
        <f>('Employee Payroll'!$B$42/12)*0.3</f>
        <v>4500</v>
      </c>
      <c r="AI37" s="8">
        <f>('Employee Payroll'!$B$42/12)*0.3</f>
        <v>4500</v>
      </c>
      <c r="AJ37" s="8">
        <f>('Employee Payroll'!$B$42/12)*0.3</f>
        <v>4500</v>
      </c>
      <c r="AK37" s="8">
        <f>('Employee Payroll'!$B$42/12)*0.3</f>
        <v>4500</v>
      </c>
      <c r="AL37" s="8">
        <f>('Employee Payroll'!$B$42/12)*0.3</f>
        <v>4500</v>
      </c>
      <c r="AM37" s="8">
        <f>('Employee Payroll'!$B$42/12)*0.3</f>
        <v>4500</v>
      </c>
      <c r="AN37" s="2"/>
      <c r="AO37" s="2"/>
      <c r="AP37" s="2"/>
      <c r="AQ37" s="2"/>
      <c r="AR37" s="2"/>
      <c r="AS37" s="2"/>
    </row>
    <row r="38" ht="15.75" customHeight="1">
      <c r="A38" s="1"/>
      <c r="B38" s="1"/>
      <c r="C38" s="2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2"/>
      <c r="AO38" s="2"/>
      <c r="AP38" s="2"/>
      <c r="AQ38" s="2"/>
      <c r="AR38" s="2"/>
      <c r="AS38" s="2"/>
    </row>
    <row r="39" ht="15.75" customHeight="1">
      <c r="A39" s="1"/>
      <c r="B39" s="1" t="s">
        <v>56</v>
      </c>
      <c r="C39" s="2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2"/>
      <c r="AO39" s="2"/>
      <c r="AP39" s="2"/>
      <c r="AQ39" s="2"/>
      <c r="AR39" s="2"/>
      <c r="AS39" s="2"/>
    </row>
    <row r="40" ht="15.75" customHeight="1">
      <c r="A40" s="1"/>
      <c r="B40" s="1"/>
      <c r="C40" s="2" t="s">
        <v>39</v>
      </c>
      <c r="D40" s="8">
        <f>15000*0.3</f>
        <v>4500</v>
      </c>
      <c r="E40" s="8">
        <v>0.0</v>
      </c>
      <c r="F40" s="8">
        <v>0.0</v>
      </c>
      <c r="G40" s="8">
        <v>0.0</v>
      </c>
      <c r="H40" s="8">
        <f>5000*0.3</f>
        <v>1500</v>
      </c>
      <c r="I40" s="8">
        <v>0.0</v>
      </c>
      <c r="J40" s="8">
        <f t="shared" ref="J40:AM40" si="11">(20000/12*0.3)</f>
        <v>500</v>
      </c>
      <c r="K40" s="8">
        <f t="shared" si="11"/>
        <v>500</v>
      </c>
      <c r="L40" s="8">
        <f t="shared" si="11"/>
        <v>500</v>
      </c>
      <c r="M40" s="8">
        <f t="shared" si="11"/>
        <v>500</v>
      </c>
      <c r="N40" s="8">
        <f t="shared" si="11"/>
        <v>500</v>
      </c>
      <c r="O40" s="8">
        <f t="shared" si="11"/>
        <v>500</v>
      </c>
      <c r="P40" s="8">
        <f t="shared" si="11"/>
        <v>500</v>
      </c>
      <c r="Q40" s="8">
        <f t="shared" si="11"/>
        <v>500</v>
      </c>
      <c r="R40" s="8">
        <f t="shared" si="11"/>
        <v>500</v>
      </c>
      <c r="S40" s="8">
        <f t="shared" si="11"/>
        <v>500</v>
      </c>
      <c r="T40" s="8">
        <f t="shared" si="11"/>
        <v>500</v>
      </c>
      <c r="U40" s="8">
        <f t="shared" si="11"/>
        <v>500</v>
      </c>
      <c r="V40" s="8">
        <f t="shared" si="11"/>
        <v>500</v>
      </c>
      <c r="W40" s="8">
        <f t="shared" si="11"/>
        <v>500</v>
      </c>
      <c r="X40" s="8">
        <f t="shared" si="11"/>
        <v>500</v>
      </c>
      <c r="Y40" s="8">
        <f t="shared" si="11"/>
        <v>500</v>
      </c>
      <c r="Z40" s="8">
        <f t="shared" si="11"/>
        <v>500</v>
      </c>
      <c r="AA40" s="8">
        <f t="shared" si="11"/>
        <v>500</v>
      </c>
      <c r="AB40" s="8">
        <f t="shared" si="11"/>
        <v>500</v>
      </c>
      <c r="AC40" s="8">
        <f t="shared" si="11"/>
        <v>500</v>
      </c>
      <c r="AD40" s="8">
        <f t="shared" si="11"/>
        <v>500</v>
      </c>
      <c r="AE40" s="8">
        <f t="shared" si="11"/>
        <v>500</v>
      </c>
      <c r="AF40" s="8">
        <f t="shared" si="11"/>
        <v>500</v>
      </c>
      <c r="AG40" s="8">
        <f t="shared" si="11"/>
        <v>500</v>
      </c>
      <c r="AH40" s="8">
        <f t="shared" si="11"/>
        <v>500</v>
      </c>
      <c r="AI40" s="8">
        <f t="shared" si="11"/>
        <v>500</v>
      </c>
      <c r="AJ40" s="8">
        <f t="shared" si="11"/>
        <v>500</v>
      </c>
      <c r="AK40" s="8">
        <f t="shared" si="11"/>
        <v>500</v>
      </c>
      <c r="AL40" s="8">
        <f t="shared" si="11"/>
        <v>500</v>
      </c>
      <c r="AM40" s="8">
        <f t="shared" si="11"/>
        <v>500</v>
      </c>
      <c r="AN40" s="2"/>
      <c r="AO40" s="2"/>
      <c r="AP40" s="2"/>
      <c r="AQ40" s="2"/>
      <c r="AR40" s="2"/>
      <c r="AS40" s="2"/>
    </row>
    <row r="41" ht="15.75" customHeight="1">
      <c r="A41" s="1"/>
      <c r="B41" s="1"/>
      <c r="C41" s="2" t="s">
        <v>40</v>
      </c>
      <c r="D41" s="8">
        <v>0.0</v>
      </c>
      <c r="E41" s="8">
        <v>0.0</v>
      </c>
      <c r="F41" s="8">
        <f>'Monthly Budget'!$D$33*0.3</f>
        <v>21</v>
      </c>
      <c r="G41" s="8">
        <f>'Monthly Budget'!$D$33*0.3</f>
        <v>21</v>
      </c>
      <c r="H41" s="8">
        <f>'Monthly Budget'!$D$33*0.3</f>
        <v>21</v>
      </c>
      <c r="I41" s="8">
        <f>'Monthly Budget'!$D$33*0.3</f>
        <v>21</v>
      </c>
      <c r="J41" s="8">
        <f>'Monthly Budget'!$D$33*0.3</f>
        <v>21</v>
      </c>
      <c r="K41" s="8">
        <f>'Monthly Budget'!$D$33*0.3</f>
        <v>21</v>
      </c>
      <c r="L41" s="8">
        <f>'Monthly Budget'!$D$33*0.3</f>
        <v>21</v>
      </c>
      <c r="M41" s="8">
        <f>'Monthly Budget'!$D$33*0.3</f>
        <v>21</v>
      </c>
      <c r="N41" s="8">
        <v>500.0</v>
      </c>
      <c r="O41" s="8">
        <v>500.0</v>
      </c>
      <c r="P41" s="8">
        <v>500.0</v>
      </c>
      <c r="Q41" s="8">
        <v>500.0</v>
      </c>
      <c r="R41" s="8">
        <v>500.0</v>
      </c>
      <c r="S41" s="8">
        <v>500.0</v>
      </c>
      <c r="T41" s="8">
        <v>500.0</v>
      </c>
      <c r="U41" s="8">
        <v>500.0</v>
      </c>
      <c r="V41" s="8">
        <v>500.0</v>
      </c>
      <c r="W41" s="8">
        <v>500.0</v>
      </c>
      <c r="X41" s="8">
        <v>500.0</v>
      </c>
      <c r="Y41" s="8">
        <v>500.0</v>
      </c>
      <c r="Z41" s="8">
        <v>500.0</v>
      </c>
      <c r="AA41" s="8">
        <v>500.0</v>
      </c>
      <c r="AB41" s="8">
        <v>500.0</v>
      </c>
      <c r="AC41" s="8">
        <v>500.0</v>
      </c>
      <c r="AD41" s="8">
        <v>500.0</v>
      </c>
      <c r="AE41" s="8">
        <v>500.0</v>
      </c>
      <c r="AF41" s="8">
        <v>500.0</v>
      </c>
      <c r="AG41" s="8">
        <v>500.0</v>
      </c>
      <c r="AH41" s="8">
        <v>500.0</v>
      </c>
      <c r="AI41" s="8">
        <v>500.0</v>
      </c>
      <c r="AJ41" s="8">
        <v>500.0</v>
      </c>
      <c r="AK41" s="8">
        <v>500.0</v>
      </c>
      <c r="AL41" s="8">
        <v>500.0</v>
      </c>
      <c r="AM41" s="8">
        <v>500.0</v>
      </c>
      <c r="AN41" s="2"/>
      <c r="AO41" s="2"/>
      <c r="AP41" s="2"/>
      <c r="AQ41" s="2"/>
      <c r="AR41" s="2"/>
      <c r="AS41" s="2"/>
    </row>
    <row r="42" ht="15.75" customHeight="1">
      <c r="A42" s="1"/>
      <c r="B42" s="1"/>
      <c r="C42" s="2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2"/>
      <c r="AO42" s="2"/>
      <c r="AP42" s="2"/>
      <c r="AQ42" s="2"/>
      <c r="AR42" s="2"/>
      <c r="AS42" s="2"/>
    </row>
    <row r="43" ht="15.75" customHeight="1">
      <c r="A43" s="1"/>
      <c r="B43" s="1" t="s">
        <v>57</v>
      </c>
      <c r="C43" s="2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2"/>
      <c r="AO43" s="2"/>
      <c r="AP43" s="2"/>
      <c r="AQ43" s="2"/>
      <c r="AR43" s="2"/>
      <c r="AS43" s="2"/>
    </row>
    <row r="44" ht="15.75" customHeight="1">
      <c r="A44" s="1"/>
      <c r="B44" s="1"/>
      <c r="C44" s="2" t="s">
        <v>58</v>
      </c>
      <c r="D44" s="8">
        <v>0.0</v>
      </c>
      <c r="E44" s="8">
        <v>0.0</v>
      </c>
      <c r="F44" s="8">
        <v>0.0</v>
      </c>
      <c r="G44" s="8">
        <v>0.0</v>
      </c>
      <c r="H44" s="8">
        <f>'Monthly Budget'!$D$37*0.3</f>
        <v>900</v>
      </c>
      <c r="I44" s="8">
        <f>'Monthly Budget'!$D$37*0.3</f>
        <v>900</v>
      </c>
      <c r="J44" s="8">
        <f>'Monthly Budget'!$D$37*0.3</f>
        <v>900</v>
      </c>
      <c r="K44" s="8">
        <f>'Monthly Budget'!$D$37*0.3</f>
        <v>900</v>
      </c>
      <c r="L44" s="8">
        <f>'Monthly Budget'!$D$37*0.3</f>
        <v>900</v>
      </c>
      <c r="M44" s="8">
        <f>'Monthly Budget'!$D$37*0.3</f>
        <v>900</v>
      </c>
      <c r="N44" s="8">
        <f>'Monthly Budget'!$D$37*0.3</f>
        <v>900</v>
      </c>
      <c r="O44" s="8">
        <f>'Monthly Budget'!$D$37*0.3</f>
        <v>900</v>
      </c>
      <c r="P44" s="8">
        <f>'Monthly Budget'!$D$37*0.3</f>
        <v>900</v>
      </c>
      <c r="Q44" s="8">
        <f>'Monthly Budget'!$D$37*0.3</f>
        <v>900</v>
      </c>
      <c r="R44" s="8">
        <f>'Monthly Budget'!$D$37*0.3</f>
        <v>900</v>
      </c>
      <c r="S44" s="8">
        <f>'Monthly Budget'!$D$37*0.3</f>
        <v>900</v>
      </c>
      <c r="T44" s="8">
        <f>'Monthly Budget'!$D$37*0.3</f>
        <v>900</v>
      </c>
      <c r="U44" s="8">
        <f>'Monthly Budget'!$D$37*0.3</f>
        <v>900</v>
      </c>
      <c r="V44" s="8">
        <f>'Monthly Budget'!$D$37*0.3</f>
        <v>900</v>
      </c>
      <c r="W44" s="8">
        <f>'Monthly Budget'!$D$37*0.3</f>
        <v>900</v>
      </c>
      <c r="X44" s="8">
        <f>'Monthly Budget'!$D$37*0.3</f>
        <v>900</v>
      </c>
      <c r="Y44" s="8">
        <f>'Monthly Budget'!$D$37*0.3</f>
        <v>900</v>
      </c>
      <c r="Z44" s="8">
        <f>'Monthly Budget'!$D$37*0.3</f>
        <v>900</v>
      </c>
      <c r="AA44" s="8">
        <f>'Monthly Budget'!$D$37*0.3</f>
        <v>900</v>
      </c>
      <c r="AB44" s="8">
        <f>'Monthly Budget'!$D$37*0.3</f>
        <v>900</v>
      </c>
      <c r="AC44" s="8">
        <f>'Monthly Budget'!$D$37*0.3</f>
        <v>900</v>
      </c>
      <c r="AD44" s="8">
        <f>'Monthly Budget'!$D$37*0.3</f>
        <v>900</v>
      </c>
      <c r="AE44" s="8">
        <f>'Monthly Budget'!$D$37*0.3</f>
        <v>900</v>
      </c>
      <c r="AF44" s="8">
        <f>'Monthly Budget'!$D$37*0.3</f>
        <v>900</v>
      </c>
      <c r="AG44" s="8">
        <f>'Monthly Budget'!$D$37*0.3</f>
        <v>900</v>
      </c>
      <c r="AH44" s="8">
        <f>'Monthly Budget'!$D$37*0.3</f>
        <v>900</v>
      </c>
      <c r="AI44" s="8">
        <f>'Monthly Budget'!$D$37*0.3</f>
        <v>900</v>
      </c>
      <c r="AJ44" s="8">
        <f>'Monthly Budget'!$D$37*0.3</f>
        <v>900</v>
      </c>
      <c r="AK44" s="8">
        <f>'Monthly Budget'!$D$37*0.3</f>
        <v>900</v>
      </c>
      <c r="AL44" s="8">
        <f>'Monthly Budget'!$D$37*0.3</f>
        <v>900</v>
      </c>
      <c r="AM44" s="8">
        <f>'Monthly Budget'!$D$37*0.3</f>
        <v>900</v>
      </c>
      <c r="AN44" s="2"/>
      <c r="AO44" s="2"/>
      <c r="AP44" s="2"/>
      <c r="AQ44" s="2"/>
      <c r="AR44" s="2"/>
      <c r="AS44" s="2"/>
    </row>
    <row r="45" ht="15.75" customHeight="1">
      <c r="A45" s="1"/>
      <c r="B45" s="1"/>
      <c r="C45" s="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2"/>
      <c r="AO45" s="2"/>
      <c r="AP45" s="2"/>
      <c r="AQ45" s="2"/>
      <c r="AR45" s="2"/>
      <c r="AS45" s="2"/>
    </row>
    <row r="46" ht="15.75" customHeight="1">
      <c r="A46" s="1"/>
      <c r="B46" s="1" t="s">
        <v>59</v>
      </c>
      <c r="C46" s="2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2"/>
      <c r="AO46" s="2"/>
      <c r="AP46" s="2"/>
      <c r="AQ46" s="2"/>
      <c r="AR46" s="2"/>
      <c r="AS46" s="2"/>
    </row>
    <row r="47" ht="15.75" customHeight="1">
      <c r="A47" s="1"/>
      <c r="B47" s="1"/>
      <c r="C47" s="2" t="s">
        <v>60</v>
      </c>
      <c r="D47" s="8">
        <v>0.0</v>
      </c>
      <c r="E47" s="8">
        <v>0.0</v>
      </c>
      <c r="F47" s="8">
        <v>0.0</v>
      </c>
      <c r="G47" s="8">
        <v>0.0</v>
      </c>
      <c r="H47" s="8">
        <v>0.0</v>
      </c>
      <c r="I47" s="8">
        <v>0.0</v>
      </c>
      <c r="J47" s="8">
        <f>('Monthly Budget'!$D$40)*0.3</f>
        <v>300</v>
      </c>
      <c r="K47" s="8">
        <f>('Monthly Budget'!$D$40)*0.3</f>
        <v>300</v>
      </c>
      <c r="L47" s="8">
        <f>('Monthly Budget'!$D$40)*0.3</f>
        <v>300</v>
      </c>
      <c r="M47" s="8">
        <f>('Monthly Budget'!$D$40)*0.3</f>
        <v>300</v>
      </c>
      <c r="N47" s="8">
        <f>('Monthly Budget'!$D$40)*0.3</f>
        <v>300</v>
      </c>
      <c r="O47" s="8">
        <f>('Monthly Budget'!$D$40)*0.3</f>
        <v>300</v>
      </c>
      <c r="P47" s="8">
        <f t="shared" ref="P47:AM47" si="12">2500*0.3</f>
        <v>750</v>
      </c>
      <c r="Q47" s="8">
        <f t="shared" si="12"/>
        <v>750</v>
      </c>
      <c r="R47" s="8">
        <f t="shared" si="12"/>
        <v>750</v>
      </c>
      <c r="S47" s="8">
        <f t="shared" si="12"/>
        <v>750</v>
      </c>
      <c r="T47" s="8">
        <f t="shared" si="12"/>
        <v>750</v>
      </c>
      <c r="U47" s="8">
        <f t="shared" si="12"/>
        <v>750</v>
      </c>
      <c r="V47" s="8">
        <f t="shared" si="12"/>
        <v>750</v>
      </c>
      <c r="W47" s="8">
        <f t="shared" si="12"/>
        <v>750</v>
      </c>
      <c r="X47" s="8">
        <f t="shared" si="12"/>
        <v>750</v>
      </c>
      <c r="Y47" s="8">
        <f t="shared" si="12"/>
        <v>750</v>
      </c>
      <c r="Z47" s="8">
        <f t="shared" si="12"/>
        <v>750</v>
      </c>
      <c r="AA47" s="8">
        <f t="shared" si="12"/>
        <v>750</v>
      </c>
      <c r="AB47" s="8">
        <f t="shared" si="12"/>
        <v>750</v>
      </c>
      <c r="AC47" s="8">
        <f t="shared" si="12"/>
        <v>750</v>
      </c>
      <c r="AD47" s="8">
        <f t="shared" si="12"/>
        <v>750</v>
      </c>
      <c r="AE47" s="8">
        <f t="shared" si="12"/>
        <v>750</v>
      </c>
      <c r="AF47" s="8">
        <f t="shared" si="12"/>
        <v>750</v>
      </c>
      <c r="AG47" s="8">
        <f t="shared" si="12"/>
        <v>750</v>
      </c>
      <c r="AH47" s="8">
        <f t="shared" si="12"/>
        <v>750</v>
      </c>
      <c r="AI47" s="8">
        <f t="shared" si="12"/>
        <v>750</v>
      </c>
      <c r="AJ47" s="8">
        <f t="shared" si="12"/>
        <v>750</v>
      </c>
      <c r="AK47" s="8">
        <f t="shared" si="12"/>
        <v>750</v>
      </c>
      <c r="AL47" s="8">
        <f t="shared" si="12"/>
        <v>750</v>
      </c>
      <c r="AM47" s="8">
        <f t="shared" si="12"/>
        <v>750</v>
      </c>
      <c r="AN47" s="2"/>
      <c r="AO47" s="2"/>
      <c r="AP47" s="2"/>
      <c r="AQ47" s="2"/>
      <c r="AR47" s="2"/>
      <c r="AS47" s="2"/>
    </row>
    <row r="48" ht="15.75" customHeight="1">
      <c r="A48" s="1"/>
      <c r="B48" s="1"/>
      <c r="C48" s="2" t="s">
        <v>61</v>
      </c>
      <c r="D48" s="8">
        <v>0.0</v>
      </c>
      <c r="E48" s="8">
        <v>0.0</v>
      </c>
      <c r="F48" s="8">
        <v>0.0</v>
      </c>
      <c r="G48" s="8">
        <v>0.0</v>
      </c>
      <c r="H48" s="8">
        <v>0.0</v>
      </c>
      <c r="I48" s="8">
        <v>0.0</v>
      </c>
      <c r="J48" s="8">
        <f>('Monthly Budget'!$D$41)*0.3</f>
        <v>30</v>
      </c>
      <c r="K48" s="8">
        <f>('Monthly Budget'!$D$41)*0.3</f>
        <v>30</v>
      </c>
      <c r="L48" s="8">
        <f>('Monthly Budget'!$D$41)*0.3</f>
        <v>30</v>
      </c>
      <c r="M48" s="8">
        <f>('Monthly Budget'!$D$41)*0.3</f>
        <v>30</v>
      </c>
      <c r="N48" s="8">
        <f>('Monthly Budget'!$D$41)*0.3</f>
        <v>30</v>
      </c>
      <c r="O48" s="8">
        <f>('Monthly Budget'!$D$41)*0.3</f>
        <v>30</v>
      </c>
      <c r="P48" s="8">
        <f>('Monthly Budget'!$D$41)*0.3</f>
        <v>30</v>
      </c>
      <c r="Q48" s="8">
        <f>('Monthly Budget'!$D$41)*0.3</f>
        <v>30</v>
      </c>
      <c r="R48" s="8">
        <f>('Monthly Budget'!$D$41)*0.3</f>
        <v>30</v>
      </c>
      <c r="S48" s="8">
        <f>('Monthly Budget'!$D$41)*0.3</f>
        <v>30</v>
      </c>
      <c r="T48" s="8">
        <f>('Monthly Budget'!$D$41)*0.3</f>
        <v>30</v>
      </c>
      <c r="U48" s="8">
        <f>('Monthly Budget'!$D$41)*0.3</f>
        <v>30</v>
      </c>
      <c r="V48" s="8">
        <f>('Monthly Budget'!$D$41)*0.3</f>
        <v>30</v>
      </c>
      <c r="W48" s="8">
        <f>('Monthly Budget'!$D$41)*0.3</f>
        <v>30</v>
      </c>
      <c r="X48" s="8">
        <f>('Monthly Budget'!$D$41)*0.3</f>
        <v>30</v>
      </c>
      <c r="Y48" s="8">
        <f>('Monthly Budget'!$D$41)*0.3</f>
        <v>30</v>
      </c>
      <c r="Z48" s="8">
        <f>('Monthly Budget'!$D$41)*0.3</f>
        <v>30</v>
      </c>
      <c r="AA48" s="8">
        <f>('Monthly Budget'!$D$41)*0.3</f>
        <v>30</v>
      </c>
      <c r="AB48" s="8">
        <f>('Monthly Budget'!$D$41)*0.3</f>
        <v>30</v>
      </c>
      <c r="AC48" s="8">
        <f>('Monthly Budget'!$D$41)*0.3</f>
        <v>30</v>
      </c>
      <c r="AD48" s="8">
        <f>('Monthly Budget'!$D$41)*0.3</f>
        <v>30</v>
      </c>
      <c r="AE48" s="8">
        <f>('Monthly Budget'!$D$41)*0.3</f>
        <v>30</v>
      </c>
      <c r="AF48" s="8">
        <f>('Monthly Budget'!$D$41)*0.3</f>
        <v>30</v>
      </c>
      <c r="AG48" s="8">
        <f>('Monthly Budget'!$D$41)*0.3</f>
        <v>30</v>
      </c>
      <c r="AH48" s="8">
        <f>('Monthly Budget'!$D$41)*0.3</f>
        <v>30</v>
      </c>
      <c r="AI48" s="8">
        <f>('Monthly Budget'!$D$41)*0.3</f>
        <v>30</v>
      </c>
      <c r="AJ48" s="8">
        <f>('Monthly Budget'!$D$41)*0.3</f>
        <v>30</v>
      </c>
      <c r="AK48" s="8">
        <f>('Monthly Budget'!$D$41)*0.3</f>
        <v>30</v>
      </c>
      <c r="AL48" s="8">
        <f>('Monthly Budget'!$D$41)*0.3</f>
        <v>30</v>
      </c>
      <c r="AM48" s="8">
        <f>('Monthly Budget'!$D$41)*0.3</f>
        <v>30</v>
      </c>
      <c r="AN48" s="2"/>
      <c r="AO48" s="2"/>
      <c r="AP48" s="2"/>
      <c r="AQ48" s="2"/>
      <c r="AR48" s="2"/>
      <c r="AS48" s="2"/>
    </row>
    <row r="49" ht="15.75" customHeight="1">
      <c r="A49" s="1"/>
      <c r="B49" s="1"/>
      <c r="C49" s="2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2"/>
      <c r="AO49" s="2"/>
      <c r="AP49" s="2"/>
      <c r="AQ49" s="2"/>
      <c r="AR49" s="2"/>
      <c r="AS49" s="2"/>
    </row>
    <row r="50" ht="15.75" customHeight="1">
      <c r="A50" s="1"/>
      <c r="B50" s="1" t="s">
        <v>62</v>
      </c>
      <c r="C50" s="2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2"/>
      <c r="AO50" s="2"/>
      <c r="AP50" s="2"/>
      <c r="AQ50" s="2"/>
      <c r="AR50" s="2"/>
      <c r="AS50" s="2"/>
    </row>
    <row r="51" ht="15.75" customHeight="1">
      <c r="A51" s="1"/>
      <c r="B51" s="1"/>
      <c r="C51" s="2" t="s">
        <v>42</v>
      </c>
      <c r="D51" s="8">
        <v>0.0</v>
      </c>
      <c r="E51" s="8">
        <v>0.0</v>
      </c>
      <c r="F51" s="8">
        <v>0.0</v>
      </c>
      <c r="G51" s="8">
        <v>0.0</v>
      </c>
      <c r="H51" s="8">
        <f>('Monthly Budget'!$D$45*'Employee Payroll'!$B$40)*0.3</f>
        <v>10</v>
      </c>
      <c r="I51" s="8">
        <f>('Monthly Budget'!$D$45*'Employee Payroll'!$B$40)*0.3</f>
        <v>10</v>
      </c>
      <c r="J51" s="8">
        <f>'Monthly Budget'!$D$45*4*0.3</f>
        <v>20</v>
      </c>
      <c r="K51" s="8">
        <f>'Monthly Budget'!$D$45*4*0.3</f>
        <v>20</v>
      </c>
      <c r="L51" s="8">
        <f>'Monthly Budget'!$D$45*4*0.3</f>
        <v>20</v>
      </c>
      <c r="M51" s="8">
        <f>'Monthly Budget'!$D$45*4*0.3</f>
        <v>20</v>
      </c>
      <c r="N51" s="8">
        <f>'Monthly Budget'!$D$45*4*0.3</f>
        <v>20</v>
      </c>
      <c r="O51" s="8">
        <f>'Monthly Budget'!$D$45*4*0.3</f>
        <v>20</v>
      </c>
      <c r="P51" s="8">
        <f>('Monthly Budget'!$D$45*'Employee Payroll'!$C$44)*0.3</f>
        <v>50</v>
      </c>
      <c r="Q51" s="8">
        <f>('Monthly Budget'!$D$45*'Employee Payroll'!$C$44)*0.3</f>
        <v>50</v>
      </c>
      <c r="R51" s="8">
        <f>('Monthly Budget'!$D$45*'Employee Payroll'!$C$44)*0.3</f>
        <v>50</v>
      </c>
      <c r="S51" s="8">
        <f>('Monthly Budget'!$D$45*'Employee Payroll'!$C$44)*0.3</f>
        <v>50</v>
      </c>
      <c r="T51" s="8">
        <f>('Monthly Budget'!$D$45*'Employee Payroll'!$C$44)*0.3</f>
        <v>50</v>
      </c>
      <c r="U51" s="8">
        <f>('Monthly Budget'!$D$45*'Employee Payroll'!$C$44)*0.3</f>
        <v>50</v>
      </c>
      <c r="V51" s="8">
        <f>('Monthly Budget'!$D$45*'Employee Payroll'!$C$44)*0.3</f>
        <v>50</v>
      </c>
      <c r="W51" s="8">
        <f>('Monthly Budget'!$D$45*'Employee Payroll'!$C$44)*0.3</f>
        <v>50</v>
      </c>
      <c r="X51" s="8">
        <f>('Monthly Budget'!$D$45*'Employee Payroll'!$C$44)*0.3</f>
        <v>50</v>
      </c>
      <c r="Y51" s="8">
        <f>('Monthly Budget'!$D$45*'Employee Payroll'!$C$44)*0.3</f>
        <v>50</v>
      </c>
      <c r="Z51" s="8">
        <f>('Monthly Budget'!$D$45*'Employee Payroll'!$C$44)*0.3</f>
        <v>50</v>
      </c>
      <c r="AA51" s="8">
        <f>('Monthly Budget'!$D$45*'Employee Payroll'!$C$44)*0.3</f>
        <v>50</v>
      </c>
      <c r="AB51" s="8">
        <f>('Monthly Budget'!$D$45*'Employee Payroll'!$D$44)*0.3</f>
        <v>80</v>
      </c>
      <c r="AC51" s="8">
        <f>('Monthly Budget'!$D$45*'Employee Payroll'!$D$44)*0.3</f>
        <v>80</v>
      </c>
      <c r="AD51" s="8">
        <f>('Monthly Budget'!$D$45*'Employee Payroll'!$D$44)*0.3</f>
        <v>80</v>
      </c>
      <c r="AE51" s="8">
        <f>('Monthly Budget'!$D$45*'Employee Payroll'!$D$44)*0.3</f>
        <v>80</v>
      </c>
      <c r="AF51" s="8">
        <f>('Monthly Budget'!$D$45*'Employee Payroll'!$D$44)*0.3</f>
        <v>80</v>
      </c>
      <c r="AG51" s="8">
        <f>('Monthly Budget'!$D$45*'Employee Payroll'!$D$44)*0.3</f>
        <v>80</v>
      </c>
      <c r="AH51" s="8">
        <f>('Monthly Budget'!$D$45*'Employee Payroll'!$D$44)*0.3</f>
        <v>80</v>
      </c>
      <c r="AI51" s="8">
        <f>('Monthly Budget'!$D$45*'Employee Payroll'!$D$44)*0.3</f>
        <v>80</v>
      </c>
      <c r="AJ51" s="8">
        <f>('Monthly Budget'!$D$45*'Employee Payroll'!$D$44)*0.3</f>
        <v>80</v>
      </c>
      <c r="AK51" s="8">
        <f>('Monthly Budget'!$D$45*'Employee Payroll'!$D$44)*0.3</f>
        <v>80</v>
      </c>
      <c r="AL51" s="8">
        <f>('Monthly Budget'!$D$45*'Employee Payroll'!$D$44)*0.3</f>
        <v>80</v>
      </c>
      <c r="AM51" s="8">
        <f>('Monthly Budget'!$D$45*'Employee Payroll'!$D$44)*0.3</f>
        <v>80</v>
      </c>
      <c r="AN51" s="2"/>
      <c r="AO51" s="2"/>
      <c r="AP51" s="2"/>
      <c r="AQ51" s="2"/>
      <c r="AR51" s="2"/>
      <c r="AS51" s="2"/>
    </row>
    <row r="52" ht="15.75" customHeight="1">
      <c r="A52" s="1"/>
      <c r="B52" s="1"/>
      <c r="C52" s="2" t="s">
        <v>43</v>
      </c>
      <c r="D52" s="8">
        <v>0.0</v>
      </c>
      <c r="E52" s="8">
        <v>0.0</v>
      </c>
      <c r="F52" s="8">
        <v>0.0</v>
      </c>
      <c r="G52" s="8">
        <v>0.0</v>
      </c>
      <c r="H52" s="8">
        <f>'Monthly Budget'!$D$46*2</f>
        <v>2.8</v>
      </c>
      <c r="I52" s="8">
        <f>'Monthly Budget'!$D$46*2</f>
        <v>2.8</v>
      </c>
      <c r="J52" s="8">
        <f>'Monthly Budget'!$D$46*4*0.3</f>
        <v>1.68</v>
      </c>
      <c r="K52" s="8">
        <f>'Monthly Budget'!$D$46*4*0.3</f>
        <v>1.68</v>
      </c>
      <c r="L52" s="8">
        <f>'Monthly Budget'!$D$46*4*0.3</f>
        <v>1.68</v>
      </c>
      <c r="M52" s="8">
        <f>'Monthly Budget'!$D$46*4*0.3</f>
        <v>1.68</v>
      </c>
      <c r="N52" s="8">
        <f>'Monthly Budget'!$D$46*4*0.3</f>
        <v>1.68</v>
      </c>
      <c r="O52" s="8">
        <f>'Monthly Budget'!$D$46*4*0.3</f>
        <v>1.68</v>
      </c>
      <c r="P52" s="8">
        <f>('Monthly Budget'!$D$46*'Employee Payroll'!$C$44)*0.3</f>
        <v>4.2</v>
      </c>
      <c r="Q52" s="8">
        <f>('Monthly Budget'!$D$46*'Employee Payroll'!$C$44)*0.3</f>
        <v>4.2</v>
      </c>
      <c r="R52" s="8">
        <f>('Monthly Budget'!$D$46*'Employee Payroll'!$C$44)*0.3</f>
        <v>4.2</v>
      </c>
      <c r="S52" s="8">
        <f>('Monthly Budget'!$D$46*'Employee Payroll'!$C$44)*0.3</f>
        <v>4.2</v>
      </c>
      <c r="T52" s="8">
        <f>('Monthly Budget'!$D$46*'Employee Payroll'!$C$44)*0.3</f>
        <v>4.2</v>
      </c>
      <c r="U52" s="8">
        <f>('Monthly Budget'!$D$46*'Employee Payroll'!$C$44)*0.3</f>
        <v>4.2</v>
      </c>
      <c r="V52" s="8">
        <f>('Monthly Budget'!$D$46*'Employee Payroll'!$C$44)*0.3</f>
        <v>4.2</v>
      </c>
      <c r="W52" s="8">
        <f>('Monthly Budget'!$D$46*'Employee Payroll'!$C$44)*0.3</f>
        <v>4.2</v>
      </c>
      <c r="X52" s="8">
        <f>('Monthly Budget'!$D$46*'Employee Payroll'!$C$44)*0.3</f>
        <v>4.2</v>
      </c>
      <c r="Y52" s="8">
        <f>('Monthly Budget'!$D$46*'Employee Payroll'!$C$44)*0.3</f>
        <v>4.2</v>
      </c>
      <c r="Z52" s="8">
        <f>('Monthly Budget'!$D$46*'Employee Payroll'!$C$44)*0.3</f>
        <v>4.2</v>
      </c>
      <c r="AA52" s="8">
        <f>('Monthly Budget'!$D$46*'Employee Payroll'!$C$44)*0.3</f>
        <v>4.2</v>
      </c>
      <c r="AB52" s="8">
        <f>('Monthly Budget'!$D$46*'Employee Payroll'!$D$44)*0.3</f>
        <v>6.72</v>
      </c>
      <c r="AC52" s="8">
        <f>('Monthly Budget'!$D$46*'Employee Payroll'!$D$44)*0.3</f>
        <v>6.72</v>
      </c>
      <c r="AD52" s="8">
        <f>('Monthly Budget'!$D$46*'Employee Payroll'!$D$44)*0.3</f>
        <v>6.72</v>
      </c>
      <c r="AE52" s="8">
        <f>('Monthly Budget'!$D$46*'Employee Payroll'!$D$44)*0.3</f>
        <v>6.72</v>
      </c>
      <c r="AF52" s="8">
        <f>'Monthly Budget'!$D$46*'Employee Payroll'!$D$44</f>
        <v>22.4</v>
      </c>
      <c r="AG52" s="8">
        <f>'Monthly Budget'!$D$46*'Employee Payroll'!$D$44</f>
        <v>22.4</v>
      </c>
      <c r="AH52" s="8">
        <f>'Monthly Budget'!$D$46*'Employee Payroll'!$D$44</f>
        <v>22.4</v>
      </c>
      <c r="AI52" s="8">
        <f>'Monthly Budget'!$D$46*'Employee Payroll'!$D$44</f>
        <v>22.4</v>
      </c>
      <c r="AJ52" s="8">
        <f>'Monthly Budget'!$D$46*'Employee Payroll'!$D$44</f>
        <v>22.4</v>
      </c>
      <c r="AK52" s="8">
        <f>'Monthly Budget'!$D$46*'Employee Payroll'!$D$44</f>
        <v>22.4</v>
      </c>
      <c r="AL52" s="8">
        <f>'Monthly Budget'!$D$46*'Employee Payroll'!$D$44</f>
        <v>22.4</v>
      </c>
      <c r="AM52" s="8">
        <f>'Monthly Budget'!$D$46*'Employee Payroll'!$D$44</f>
        <v>22.4</v>
      </c>
      <c r="AN52" s="2"/>
      <c r="AO52" s="2"/>
      <c r="AP52" s="2"/>
      <c r="AQ52" s="2"/>
      <c r="AR52" s="2"/>
      <c r="AS52" s="2"/>
    </row>
    <row r="53" ht="15.75" customHeight="1">
      <c r="A53" s="1"/>
      <c r="B53" s="1"/>
      <c r="C53" s="2" t="s">
        <v>44</v>
      </c>
      <c r="D53" s="8">
        <v>0.0</v>
      </c>
      <c r="E53" s="8">
        <v>0.0</v>
      </c>
      <c r="F53" s="8">
        <v>0.0</v>
      </c>
      <c r="G53" s="8">
        <v>0.0</v>
      </c>
      <c r="H53" s="8">
        <f>'Monthly Budget'!$D$47*2*0.3</f>
        <v>0.432</v>
      </c>
      <c r="I53" s="8">
        <f>'Monthly Budget'!$D$47*2*0.3</f>
        <v>0.432</v>
      </c>
      <c r="J53" s="8">
        <f>'Monthly Budget'!$D$47*4*0.3</f>
        <v>0.864</v>
      </c>
      <c r="K53" s="8">
        <f>'Monthly Budget'!$D$47*4*0.3</f>
        <v>0.864</v>
      </c>
      <c r="L53" s="8">
        <f>'Monthly Budget'!$D$47*4*0.3</f>
        <v>0.864</v>
      </c>
      <c r="M53" s="8">
        <f>'Monthly Budget'!$D$47*4*0.3</f>
        <v>0.864</v>
      </c>
      <c r="N53" s="8">
        <f>'Monthly Budget'!$D$47*4*0.3</f>
        <v>0.864</v>
      </c>
      <c r="O53" s="8">
        <f>'Monthly Budget'!$D$47*4*0.3</f>
        <v>0.864</v>
      </c>
      <c r="P53" s="8">
        <f>('Monthly Budget'!$D$47*'Employee Payroll'!$C$44)*0.3</f>
        <v>2.16</v>
      </c>
      <c r="Q53" s="8">
        <f>('Monthly Budget'!$D$47*'Employee Payroll'!$C$44)*0.3</f>
        <v>2.16</v>
      </c>
      <c r="R53" s="8">
        <f>('Monthly Budget'!$D$47*'Employee Payroll'!$C$44)*0.3</f>
        <v>2.16</v>
      </c>
      <c r="S53" s="8">
        <f>('Monthly Budget'!$D$47*'Employee Payroll'!$C$44)*0.3</f>
        <v>2.16</v>
      </c>
      <c r="T53" s="8">
        <f>('Monthly Budget'!$D$47*'Employee Payroll'!$C$44)*0.3</f>
        <v>2.16</v>
      </c>
      <c r="U53" s="8">
        <f>('Monthly Budget'!$D$47*'Employee Payroll'!$C$44)*0.3</f>
        <v>2.16</v>
      </c>
      <c r="V53" s="8">
        <f>('Monthly Budget'!$D$47*'Employee Payroll'!$C$44)*0.3</f>
        <v>2.16</v>
      </c>
      <c r="W53" s="8">
        <f>('Monthly Budget'!$D$47*'Employee Payroll'!$C$44)*0.3</f>
        <v>2.16</v>
      </c>
      <c r="X53" s="8">
        <f>('Monthly Budget'!$D$47*'Employee Payroll'!$C$44)*0.3</f>
        <v>2.16</v>
      </c>
      <c r="Y53" s="8">
        <f>('Monthly Budget'!$D$47*'Employee Payroll'!$C$44)*0.3</f>
        <v>2.16</v>
      </c>
      <c r="Z53" s="8">
        <f>('Monthly Budget'!$D$47*'Employee Payroll'!$C$44)*0.3</f>
        <v>2.16</v>
      </c>
      <c r="AA53" s="8">
        <f>('Monthly Budget'!$D$47*'Employee Payroll'!$C$44)*0.3</f>
        <v>2.16</v>
      </c>
      <c r="AB53" s="8">
        <f>('Monthly Budget'!$D$47*'Employee Payroll'!$D$44)*0.3</f>
        <v>3.456</v>
      </c>
      <c r="AC53" s="8">
        <f>('Monthly Budget'!$D$47*'Employee Payroll'!$D$44)*0.3</f>
        <v>3.456</v>
      </c>
      <c r="AD53" s="8">
        <f>('Monthly Budget'!$D$47*'Employee Payroll'!$D$44)*0.3</f>
        <v>3.456</v>
      </c>
      <c r="AE53" s="8">
        <f>('Monthly Budget'!$D$47*'Employee Payroll'!$D$44)*0.3</f>
        <v>3.456</v>
      </c>
      <c r="AF53" s="8">
        <f>('Monthly Budget'!$D$47*'Employee Payroll'!$D$44)*0.3</f>
        <v>3.456</v>
      </c>
      <c r="AG53" s="8">
        <f>('Monthly Budget'!$D$47*'Employee Payroll'!$D$44)*0.3</f>
        <v>3.456</v>
      </c>
      <c r="AH53" s="8">
        <f>('Monthly Budget'!$D$47*'Employee Payroll'!$D$44)*0.3</f>
        <v>3.456</v>
      </c>
      <c r="AI53" s="8">
        <f>('Monthly Budget'!$D$47*'Employee Payroll'!$D$44)*0.3</f>
        <v>3.456</v>
      </c>
      <c r="AJ53" s="8">
        <f>('Monthly Budget'!$D$47*'Employee Payroll'!$D$44)*0.3</f>
        <v>3.456</v>
      </c>
      <c r="AK53" s="8">
        <f>('Monthly Budget'!$D$47*'Employee Payroll'!$D$44)*0.3</f>
        <v>3.456</v>
      </c>
      <c r="AL53" s="8">
        <f>('Monthly Budget'!$D$47*'Employee Payroll'!$D$44)*0.3</f>
        <v>3.456</v>
      </c>
      <c r="AM53" s="8">
        <f>('Monthly Budget'!$D$47*'Employee Payroll'!$D$44)*0.3</f>
        <v>3.456</v>
      </c>
      <c r="AN53" s="2"/>
      <c r="AO53" s="2"/>
      <c r="AP53" s="2"/>
      <c r="AQ53" s="2"/>
      <c r="AR53" s="2"/>
      <c r="AS53" s="2"/>
    </row>
    <row r="54" ht="15.75" customHeight="1">
      <c r="A54" s="1"/>
      <c r="B54" s="1"/>
      <c r="C54" s="2"/>
      <c r="D54" s="2"/>
      <c r="E54" s="2"/>
      <c r="F54" s="2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2"/>
      <c r="AO54" s="2"/>
      <c r="AP54" s="2"/>
      <c r="AQ54" s="2"/>
      <c r="AR54" s="2"/>
      <c r="AS54" s="2"/>
    </row>
    <row r="55" ht="15.75" customHeight="1">
      <c r="A55" s="1" t="s">
        <v>63</v>
      </c>
      <c r="B55" s="1"/>
      <c r="C55" s="2"/>
      <c r="D55" s="8">
        <f t="shared" ref="D55:AM55" si="13">D15+D21+D22+D25+D26+D29+D30+D31+D34+D37+D40+D41+D44+D47+D48+D51+D52+D53</f>
        <v>8130.075</v>
      </c>
      <c r="E55" s="8">
        <f t="shared" si="13"/>
        <v>3880.075</v>
      </c>
      <c r="F55" s="8">
        <f t="shared" si="13"/>
        <v>4901.075</v>
      </c>
      <c r="G55" s="8">
        <f t="shared" si="13"/>
        <v>4651.075</v>
      </c>
      <c r="H55" s="8">
        <f t="shared" si="13"/>
        <v>11564.307</v>
      </c>
      <c r="I55" s="8">
        <f t="shared" si="13"/>
        <v>10547.307</v>
      </c>
      <c r="J55" s="8">
        <f t="shared" si="13"/>
        <v>14853.28567</v>
      </c>
      <c r="K55" s="8">
        <f t="shared" si="13"/>
        <v>14853.28567</v>
      </c>
      <c r="L55" s="8">
        <f t="shared" si="13"/>
        <v>15003.28567</v>
      </c>
      <c r="M55" s="8">
        <f t="shared" si="13"/>
        <v>25003.28567</v>
      </c>
      <c r="N55" s="8">
        <f t="shared" si="13"/>
        <v>27232.28567</v>
      </c>
      <c r="O55" s="8">
        <f t="shared" si="13"/>
        <v>27082.28567</v>
      </c>
      <c r="P55" s="8">
        <f t="shared" si="13"/>
        <v>36132.76833</v>
      </c>
      <c r="Q55" s="8">
        <f t="shared" si="13"/>
        <v>36132.76833</v>
      </c>
      <c r="R55" s="8">
        <f t="shared" si="13"/>
        <v>36132.76833</v>
      </c>
      <c r="S55" s="8">
        <f t="shared" si="13"/>
        <v>36132.76833</v>
      </c>
      <c r="T55" s="8">
        <f t="shared" si="13"/>
        <v>36132.76833</v>
      </c>
      <c r="U55" s="8">
        <f t="shared" si="13"/>
        <v>36132.76833</v>
      </c>
      <c r="V55" s="8">
        <f t="shared" si="13"/>
        <v>36132.76833</v>
      </c>
      <c r="W55" s="8">
        <f t="shared" si="13"/>
        <v>36132.76833</v>
      </c>
      <c r="X55" s="8">
        <f t="shared" si="13"/>
        <v>56132.76833</v>
      </c>
      <c r="Y55" s="8">
        <f t="shared" si="13"/>
        <v>56132.76833</v>
      </c>
      <c r="Z55" s="8">
        <f t="shared" si="13"/>
        <v>56132.76833</v>
      </c>
      <c r="AA55" s="8">
        <f t="shared" si="13"/>
        <v>56132.76833</v>
      </c>
      <c r="AB55" s="8">
        <f t="shared" si="13"/>
        <v>65583.251</v>
      </c>
      <c r="AC55" s="8">
        <f t="shared" si="13"/>
        <v>65583.251</v>
      </c>
      <c r="AD55" s="8">
        <f t="shared" si="13"/>
        <v>65583.251</v>
      </c>
      <c r="AE55" s="8">
        <f t="shared" si="13"/>
        <v>65583.251</v>
      </c>
      <c r="AF55" s="8">
        <f t="shared" si="13"/>
        <v>65598.931</v>
      </c>
      <c r="AG55" s="8">
        <f t="shared" si="13"/>
        <v>65598.931</v>
      </c>
      <c r="AH55" s="8">
        <f t="shared" si="13"/>
        <v>65598.931</v>
      </c>
      <c r="AI55" s="8">
        <f t="shared" si="13"/>
        <v>65598.931</v>
      </c>
      <c r="AJ55" s="8">
        <f t="shared" si="13"/>
        <v>75598.931</v>
      </c>
      <c r="AK55" s="8">
        <f t="shared" si="13"/>
        <v>75598.931</v>
      </c>
      <c r="AL55" s="8">
        <f t="shared" si="13"/>
        <v>75598.931</v>
      </c>
      <c r="AM55" s="8">
        <f t="shared" si="13"/>
        <v>75598.931</v>
      </c>
      <c r="AN55" s="2"/>
      <c r="AO55" s="2"/>
      <c r="AP55" s="2"/>
      <c r="AQ55" s="2"/>
      <c r="AR55" s="2"/>
      <c r="AS55" s="2"/>
    </row>
    <row r="56" ht="15.75" customHeight="1">
      <c r="A56" s="1"/>
      <c r="B56" s="1"/>
      <c r="C56" s="2"/>
      <c r="D56" s="2"/>
      <c r="E56" s="2"/>
      <c r="F56" s="2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2"/>
      <c r="AO56" s="2"/>
      <c r="AP56" s="2"/>
      <c r="AQ56" s="2"/>
      <c r="AR56" s="2"/>
      <c r="AS56" s="2"/>
    </row>
    <row r="57" ht="15.75" customHeight="1">
      <c r="A57" s="1"/>
      <c r="B57" s="1" t="s">
        <v>64</v>
      </c>
      <c r="C57" s="2"/>
      <c r="D57" s="8">
        <f t="shared" ref="D57:AM57" si="14">D6-D55</f>
        <v>-6866.655</v>
      </c>
      <c r="E57" s="8">
        <f t="shared" si="14"/>
        <v>-2942.895</v>
      </c>
      <c r="F57" s="8">
        <f t="shared" si="14"/>
        <v>-2707.885</v>
      </c>
      <c r="G57" s="8">
        <f t="shared" si="14"/>
        <v>-4045.015</v>
      </c>
      <c r="H57" s="8">
        <f t="shared" si="14"/>
        <v>-10314.3445</v>
      </c>
      <c r="I57" s="8">
        <f t="shared" si="14"/>
        <v>-1297.3445</v>
      </c>
      <c r="J57" s="8">
        <f t="shared" si="14"/>
        <v>-3453.285667</v>
      </c>
      <c r="K57" s="8">
        <f t="shared" si="14"/>
        <v>-1453.285667</v>
      </c>
      <c r="L57" s="8">
        <f t="shared" si="14"/>
        <v>-2550.785667</v>
      </c>
      <c r="M57" s="8">
        <f t="shared" si="14"/>
        <v>-18354.07514</v>
      </c>
      <c r="N57" s="8">
        <f t="shared" si="14"/>
        <v>-18729.50789</v>
      </c>
      <c r="O57" s="8">
        <f t="shared" si="14"/>
        <v>-18317.57978</v>
      </c>
      <c r="P57" s="8">
        <f t="shared" si="14"/>
        <v>-27554.64333</v>
      </c>
      <c r="Q57" s="8">
        <f t="shared" si="14"/>
        <v>-17182.76833</v>
      </c>
      <c r="R57" s="8">
        <f t="shared" si="14"/>
        <v>-13182.76833</v>
      </c>
      <c r="S57" s="8">
        <f t="shared" si="14"/>
        <v>-11182.76833</v>
      </c>
      <c r="T57" s="8">
        <f t="shared" si="14"/>
        <v>-11182.76833</v>
      </c>
      <c r="U57" s="8">
        <f t="shared" si="14"/>
        <v>-25182.76833</v>
      </c>
      <c r="V57" s="8">
        <f t="shared" si="14"/>
        <v>-25182.76833</v>
      </c>
      <c r="W57" s="8">
        <f t="shared" si="14"/>
        <v>-25182.76833</v>
      </c>
      <c r="X57" s="8">
        <f t="shared" si="14"/>
        <v>-35849.435</v>
      </c>
      <c r="Y57" s="8">
        <f t="shared" si="14"/>
        <v>-35849.435</v>
      </c>
      <c r="Z57" s="8">
        <f t="shared" si="14"/>
        <v>-35849.435</v>
      </c>
      <c r="AA57" s="8">
        <f t="shared" si="14"/>
        <v>-35849.435</v>
      </c>
      <c r="AB57" s="8">
        <f t="shared" si="14"/>
        <v>-43466.58433</v>
      </c>
      <c r="AC57" s="8">
        <f t="shared" si="14"/>
        <v>-43466.58433</v>
      </c>
      <c r="AD57" s="8">
        <f t="shared" si="14"/>
        <v>-31466.58433</v>
      </c>
      <c r="AE57" s="8">
        <f t="shared" si="14"/>
        <v>-29466.58433</v>
      </c>
      <c r="AF57" s="8">
        <f t="shared" si="14"/>
        <v>-27482.26433</v>
      </c>
      <c r="AG57" s="8">
        <f t="shared" si="14"/>
        <v>-27482.26433</v>
      </c>
      <c r="AH57" s="8">
        <f t="shared" si="14"/>
        <v>-43482.26433</v>
      </c>
      <c r="AI57" s="8">
        <f t="shared" si="14"/>
        <v>-43482.26433</v>
      </c>
      <c r="AJ57" s="8">
        <f t="shared" si="14"/>
        <v>-48815.59767</v>
      </c>
      <c r="AK57" s="8">
        <f t="shared" si="14"/>
        <v>-48815.59767</v>
      </c>
      <c r="AL57" s="8">
        <f t="shared" si="14"/>
        <v>-48815.59767</v>
      </c>
      <c r="AM57" s="8">
        <f t="shared" si="14"/>
        <v>-48815.59767</v>
      </c>
      <c r="AN57" s="2"/>
      <c r="AO57" s="2"/>
      <c r="AP57" s="2"/>
      <c r="AQ57" s="2"/>
      <c r="AR57" s="2"/>
      <c r="AS57" s="2"/>
    </row>
    <row r="58" ht="15.75" customHeight="1">
      <c r="A58" s="2"/>
      <c r="B58" s="2" t="s">
        <v>65</v>
      </c>
      <c r="C58" s="2"/>
      <c r="D58" s="14">
        <f t="shared" ref="D58:AM58" si="15">D57/D6</f>
        <v>-5.434974118</v>
      </c>
      <c r="E58" s="14">
        <f t="shared" si="15"/>
        <v>-3.140159841</v>
      </c>
      <c r="F58" s="14">
        <f t="shared" si="15"/>
        <v>-1.23467871</v>
      </c>
      <c r="G58" s="14">
        <f t="shared" si="15"/>
        <v>-6.674281424</v>
      </c>
      <c r="H58" s="14">
        <f t="shared" si="15"/>
        <v>-8.251723152</v>
      </c>
      <c r="I58" s="14">
        <f t="shared" si="15"/>
        <v>-0.1402540281</v>
      </c>
      <c r="J58" s="14">
        <f t="shared" si="15"/>
        <v>-0.3029197953</v>
      </c>
      <c r="K58" s="14">
        <f t="shared" si="15"/>
        <v>-0.1084541542</v>
      </c>
      <c r="L58" s="14">
        <f t="shared" si="15"/>
        <v>-0.2048412501</v>
      </c>
      <c r="M58" s="14">
        <f t="shared" si="15"/>
        <v>-2.760339001</v>
      </c>
      <c r="N58" s="14">
        <f t="shared" si="15"/>
        <v>-2.202751663</v>
      </c>
      <c r="O58" s="14">
        <f t="shared" si="15"/>
        <v>-2.08992521</v>
      </c>
      <c r="P58" s="14">
        <f t="shared" si="15"/>
        <v>-3.212198859</v>
      </c>
      <c r="Q58" s="14">
        <f t="shared" si="15"/>
        <v>-0.9067423923</v>
      </c>
      <c r="R58" s="14">
        <f t="shared" si="15"/>
        <v>-0.5744125635</v>
      </c>
      <c r="S58" s="14">
        <f t="shared" si="15"/>
        <v>-0.4482071476</v>
      </c>
      <c r="T58" s="14">
        <f t="shared" si="15"/>
        <v>-0.4482071476</v>
      </c>
      <c r="U58" s="14">
        <f t="shared" si="15"/>
        <v>-2.299796195</v>
      </c>
      <c r="V58" s="14">
        <f t="shared" si="15"/>
        <v>-2.299796195</v>
      </c>
      <c r="W58" s="14">
        <f t="shared" si="15"/>
        <v>-2.299796195</v>
      </c>
      <c r="X58" s="14">
        <f t="shared" si="15"/>
        <v>-1.767433114</v>
      </c>
      <c r="Y58" s="14">
        <f t="shared" si="15"/>
        <v>-1.767433114</v>
      </c>
      <c r="Z58" s="14">
        <f t="shared" si="15"/>
        <v>-1.767433114</v>
      </c>
      <c r="AA58" s="14">
        <f t="shared" si="15"/>
        <v>-1.767433114</v>
      </c>
      <c r="AB58" s="14">
        <f t="shared" si="15"/>
        <v>-1.96533162</v>
      </c>
      <c r="AC58" s="14">
        <f t="shared" si="15"/>
        <v>-1.96533162</v>
      </c>
      <c r="AD58" s="14">
        <f t="shared" si="15"/>
        <v>-0.9223229409</v>
      </c>
      <c r="AE58" s="14">
        <f t="shared" si="15"/>
        <v>-0.8158722012</v>
      </c>
      <c r="AF58" s="14">
        <f t="shared" si="15"/>
        <v>-0.7210038741</v>
      </c>
      <c r="AG58" s="14">
        <f t="shared" si="15"/>
        <v>-0.7210038741</v>
      </c>
      <c r="AH58" s="14">
        <f t="shared" si="15"/>
        <v>-1.966040588</v>
      </c>
      <c r="AI58" s="14">
        <f t="shared" si="15"/>
        <v>-1.966040588</v>
      </c>
      <c r="AJ58" s="14">
        <f t="shared" si="15"/>
        <v>-1.822610989</v>
      </c>
      <c r="AK58" s="14">
        <f t="shared" si="15"/>
        <v>-1.822610989</v>
      </c>
      <c r="AL58" s="14">
        <f t="shared" si="15"/>
        <v>-1.822610989</v>
      </c>
      <c r="AM58" s="14">
        <f t="shared" si="15"/>
        <v>-1.822610989</v>
      </c>
      <c r="AN58" s="2"/>
      <c r="AO58" s="2"/>
      <c r="AP58" s="2"/>
      <c r="AQ58" s="2"/>
      <c r="AR58" s="2"/>
      <c r="AS58" s="2"/>
    </row>
    <row r="59" ht="15.75" customHeight="1">
      <c r="A59" s="1"/>
      <c r="B59" s="1" t="s">
        <v>76</v>
      </c>
      <c r="C59" s="2"/>
      <c r="D59" s="8">
        <f t="shared" ref="D59:AM59" si="16">D55</f>
        <v>8130.075</v>
      </c>
      <c r="E59" s="8">
        <f t="shared" si="16"/>
        <v>3880.075</v>
      </c>
      <c r="F59" s="8">
        <f t="shared" si="16"/>
        <v>4901.075</v>
      </c>
      <c r="G59" s="8">
        <f t="shared" si="16"/>
        <v>4651.075</v>
      </c>
      <c r="H59" s="8">
        <f t="shared" si="16"/>
        <v>11564.307</v>
      </c>
      <c r="I59" s="8">
        <f t="shared" si="16"/>
        <v>10547.307</v>
      </c>
      <c r="J59" s="8">
        <f t="shared" si="16"/>
        <v>14853.28567</v>
      </c>
      <c r="K59" s="8">
        <f t="shared" si="16"/>
        <v>14853.28567</v>
      </c>
      <c r="L59" s="8">
        <f t="shared" si="16"/>
        <v>15003.28567</v>
      </c>
      <c r="M59" s="8">
        <f t="shared" si="16"/>
        <v>25003.28567</v>
      </c>
      <c r="N59" s="8">
        <f t="shared" si="16"/>
        <v>27232.28567</v>
      </c>
      <c r="O59" s="8">
        <f t="shared" si="16"/>
        <v>27082.28567</v>
      </c>
      <c r="P59" s="8">
        <f t="shared" si="16"/>
        <v>36132.76833</v>
      </c>
      <c r="Q59" s="8">
        <f t="shared" si="16"/>
        <v>36132.76833</v>
      </c>
      <c r="R59" s="8">
        <f t="shared" si="16"/>
        <v>36132.76833</v>
      </c>
      <c r="S59" s="8">
        <f t="shared" si="16"/>
        <v>36132.76833</v>
      </c>
      <c r="T59" s="8">
        <f t="shared" si="16"/>
        <v>36132.76833</v>
      </c>
      <c r="U59" s="8">
        <f t="shared" si="16"/>
        <v>36132.76833</v>
      </c>
      <c r="V59" s="8">
        <f t="shared" si="16"/>
        <v>36132.76833</v>
      </c>
      <c r="W59" s="8">
        <f t="shared" si="16"/>
        <v>36132.76833</v>
      </c>
      <c r="X59" s="8">
        <f t="shared" si="16"/>
        <v>56132.76833</v>
      </c>
      <c r="Y59" s="8">
        <f t="shared" si="16"/>
        <v>56132.76833</v>
      </c>
      <c r="Z59" s="8">
        <f t="shared" si="16"/>
        <v>56132.76833</v>
      </c>
      <c r="AA59" s="8">
        <f t="shared" si="16"/>
        <v>56132.76833</v>
      </c>
      <c r="AB59" s="8">
        <f t="shared" si="16"/>
        <v>65583.251</v>
      </c>
      <c r="AC59" s="8">
        <f t="shared" si="16"/>
        <v>65583.251</v>
      </c>
      <c r="AD59" s="8">
        <f t="shared" si="16"/>
        <v>65583.251</v>
      </c>
      <c r="AE59" s="8">
        <f t="shared" si="16"/>
        <v>65583.251</v>
      </c>
      <c r="AF59" s="8">
        <f t="shared" si="16"/>
        <v>65598.931</v>
      </c>
      <c r="AG59" s="8">
        <f t="shared" si="16"/>
        <v>65598.931</v>
      </c>
      <c r="AH59" s="8">
        <f t="shared" si="16"/>
        <v>65598.931</v>
      </c>
      <c r="AI59" s="8">
        <f t="shared" si="16"/>
        <v>65598.931</v>
      </c>
      <c r="AJ59" s="8">
        <f t="shared" si="16"/>
        <v>75598.931</v>
      </c>
      <c r="AK59" s="8">
        <f t="shared" si="16"/>
        <v>75598.931</v>
      </c>
      <c r="AL59" s="8">
        <f t="shared" si="16"/>
        <v>75598.931</v>
      </c>
      <c r="AM59" s="8">
        <f t="shared" si="16"/>
        <v>75598.931</v>
      </c>
      <c r="AN59" s="2"/>
      <c r="AO59" s="2"/>
      <c r="AP59" s="2"/>
      <c r="AQ59" s="2"/>
      <c r="AR59" s="2"/>
      <c r="AS59" s="2"/>
    </row>
    <row r="60" ht="15.75" customHeight="1">
      <c r="A60" s="2"/>
      <c r="B60" s="1" t="s">
        <v>77</v>
      </c>
      <c r="C60" s="2"/>
      <c r="D60" s="2"/>
      <c r="E60" s="2"/>
      <c r="F60" s="2"/>
      <c r="G60" s="8"/>
      <c r="H60" s="8"/>
      <c r="I60" s="8"/>
      <c r="J60" s="8"/>
      <c r="K60" s="8"/>
      <c r="L60" s="8"/>
      <c r="M60" s="8"/>
      <c r="N60" s="12"/>
      <c r="O60" s="12">
        <f>sum(D6:O6)</f>
        <v>76668.96919</v>
      </c>
      <c r="P60" s="8"/>
      <c r="Q60" s="8"/>
      <c r="R60" s="8"/>
      <c r="S60" s="8"/>
      <c r="T60" s="8"/>
      <c r="U60" s="8"/>
      <c r="V60" s="8"/>
      <c r="W60" s="8"/>
      <c r="X60" s="8"/>
      <c r="Y60" s="8"/>
      <c r="Z60" s="12"/>
      <c r="AA60" s="12">
        <f>sum(P6:AA6)</f>
        <v>214361.4583</v>
      </c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12">
        <f>sum(AB6:AM6)</f>
        <v>342066.6667</v>
      </c>
      <c r="AN60" s="2"/>
      <c r="AO60" s="2"/>
      <c r="AP60" s="2"/>
      <c r="AQ60" s="2"/>
      <c r="AR60" s="2"/>
      <c r="AS60" s="2"/>
    </row>
    <row r="61" ht="15.75" customHeight="1">
      <c r="A61" s="2"/>
      <c r="B61" s="1" t="s">
        <v>78</v>
      </c>
      <c r="C61" s="2"/>
      <c r="D61" s="2"/>
      <c r="E61" s="2"/>
      <c r="F61" s="2"/>
      <c r="G61" s="8"/>
      <c r="H61" s="8"/>
      <c r="I61" s="8"/>
      <c r="J61" s="8"/>
      <c r="K61" s="8"/>
      <c r="L61" s="8"/>
      <c r="M61" s="8"/>
      <c r="N61" s="8"/>
      <c r="O61" s="12">
        <f>SUM(D57:O57)</f>
        <v>-91032.65881</v>
      </c>
      <c r="P61" s="8"/>
      <c r="Q61" s="8"/>
      <c r="R61" s="8"/>
      <c r="S61" s="8"/>
      <c r="T61" s="8"/>
      <c r="U61" s="8"/>
      <c r="V61" s="8"/>
      <c r="W61" s="8"/>
      <c r="X61" s="8"/>
      <c r="Y61" s="8"/>
      <c r="Z61" s="12"/>
      <c r="AA61" s="12">
        <f>SUM($P57:$AA57)</f>
        <v>-299231.7617</v>
      </c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12">
        <f>sum(AB57:AM57)</f>
        <v>-485057.7853</v>
      </c>
      <c r="AN61" s="2"/>
      <c r="AO61" s="2"/>
      <c r="AP61" s="2"/>
      <c r="AQ61" s="2"/>
      <c r="AR61" s="2"/>
      <c r="AS61" s="2"/>
    </row>
    <row r="62" ht="15.75" customHeight="1">
      <c r="A62" s="2"/>
      <c r="B62" s="1" t="s">
        <v>79</v>
      </c>
      <c r="C62" s="2"/>
      <c r="D62" s="2"/>
      <c r="E62" s="2"/>
      <c r="F62" s="2"/>
      <c r="G62" s="8"/>
      <c r="H62" s="8"/>
      <c r="I62" s="8"/>
      <c r="J62" s="8"/>
      <c r="K62" s="8"/>
      <c r="L62" s="8"/>
      <c r="M62" s="8"/>
      <c r="N62" s="8"/>
      <c r="O62" s="12">
        <f>sum(D55:O55)</f>
        <v>167701.628</v>
      </c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12">
        <f>sum(P55:AA55)</f>
        <v>513593.22</v>
      </c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12">
        <f>sum(AB55:AM55)</f>
        <v>827124.452</v>
      </c>
      <c r="AN62" s="2"/>
      <c r="AO62" s="2"/>
      <c r="AP62" s="2"/>
      <c r="AQ62" s="2"/>
      <c r="AR62" s="2"/>
      <c r="AS62" s="2"/>
    </row>
    <row r="63" ht="15.75" customHeight="1">
      <c r="A63" s="2"/>
      <c r="B63" s="1" t="s">
        <v>80</v>
      </c>
      <c r="C63" s="2"/>
      <c r="D63" s="2"/>
      <c r="E63" s="2"/>
      <c r="F63" s="2"/>
      <c r="G63" s="8"/>
      <c r="H63" s="8"/>
      <c r="I63" s="8"/>
      <c r="J63" s="8"/>
      <c r="K63" s="8"/>
      <c r="L63" s="8"/>
      <c r="M63" s="8"/>
      <c r="N63" s="8"/>
      <c r="O63" s="16">
        <f>(O60-O62)/O60</f>
        <v>-1.187346847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16">
        <f>(AA60-AA62)/AA60</f>
        <v>-1.395921468</v>
      </c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16">
        <f>(AM60-AM62)/AM60</f>
        <v>-1.418021201</v>
      </c>
      <c r="AN63" s="2"/>
      <c r="AO63" s="2"/>
      <c r="AP63" s="2"/>
      <c r="AQ63" s="2"/>
      <c r="AR63" s="2"/>
      <c r="AS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</row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1.22" defaultRowHeight="15.0"/>
  <cols>
    <col customWidth="1" min="1" max="1" width="28.33"/>
    <col customWidth="1" min="2" max="2" width="47.44"/>
    <col customWidth="1" min="3" max="3" width="21.78"/>
    <col customWidth="1" min="4" max="4" width="7.33"/>
    <col customWidth="1" min="5" max="6" width="6.56"/>
    <col customWidth="1" min="7" max="7" width="7.33"/>
    <col customWidth="1" min="8" max="9" width="8.22"/>
    <col customWidth="1" min="10" max="13" width="7.33"/>
    <col customWidth="1" min="14" max="14" width="11.44"/>
    <col customWidth="1" min="15" max="15" width="8.89"/>
    <col customWidth="1" min="16" max="17" width="7.67"/>
    <col customWidth="1" min="18" max="19" width="8.33"/>
    <col customWidth="1" min="20" max="24" width="7.67"/>
    <col customWidth="1" min="25" max="26" width="8.33"/>
    <col customWidth="1" min="27" max="27" width="10.33"/>
    <col customWidth="1" min="28" max="28" width="8.33"/>
    <col customWidth="1" min="29" max="30" width="8.22"/>
    <col customWidth="1" min="31" max="33" width="7.67"/>
    <col customWidth="1" min="34" max="39" width="8.33"/>
    <col customWidth="1" min="40" max="45" width="10.56"/>
  </cols>
  <sheetData>
    <row r="1" ht="15.75" customHeight="1">
      <c r="A1" s="1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ht="15.75" customHeight="1">
      <c r="A2" s="1" t="s">
        <v>67</v>
      </c>
      <c r="B2" s="1"/>
      <c r="C2" s="2"/>
      <c r="D2" s="2"/>
      <c r="E2" s="17"/>
      <c r="F2" s="1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ht="15.75" customHeight="1">
      <c r="A3" s="1"/>
      <c r="B3" s="24"/>
      <c r="C3" s="2"/>
      <c r="D3" s="2"/>
      <c r="E3" s="2"/>
      <c r="F3" s="1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ht="15.75" customHeight="1">
      <c r="A4" s="1" t="s">
        <v>68</v>
      </c>
      <c r="B4" s="1"/>
      <c r="C4" s="1"/>
      <c r="D4" s="32">
        <v>44197.0</v>
      </c>
      <c r="E4" s="32">
        <v>44228.0</v>
      </c>
      <c r="F4" s="32">
        <v>44256.0</v>
      </c>
      <c r="G4" s="32">
        <v>44287.0</v>
      </c>
      <c r="H4" s="32">
        <v>44317.0</v>
      </c>
      <c r="I4" s="32">
        <v>44348.0</v>
      </c>
      <c r="J4" s="32">
        <v>44378.0</v>
      </c>
      <c r="K4" s="32">
        <v>44409.0</v>
      </c>
      <c r="L4" s="32">
        <v>44440.0</v>
      </c>
      <c r="M4" s="32">
        <v>44470.0</v>
      </c>
      <c r="N4" s="32">
        <v>44501.0</v>
      </c>
      <c r="O4" s="32">
        <v>44531.0</v>
      </c>
      <c r="P4" s="32">
        <v>44562.0</v>
      </c>
      <c r="Q4" s="32">
        <v>44593.0</v>
      </c>
      <c r="R4" s="32">
        <v>44621.0</v>
      </c>
      <c r="S4" s="32">
        <v>44652.0</v>
      </c>
      <c r="T4" s="32">
        <v>44682.0</v>
      </c>
      <c r="U4" s="32">
        <v>44713.0</v>
      </c>
      <c r="V4" s="32">
        <v>44743.0</v>
      </c>
      <c r="W4" s="32">
        <v>44774.0</v>
      </c>
      <c r="X4" s="32">
        <v>44805.0</v>
      </c>
      <c r="Y4" s="32">
        <v>44835.0</v>
      </c>
      <c r="Z4" s="32">
        <v>44866.0</v>
      </c>
      <c r="AA4" s="32">
        <v>44896.0</v>
      </c>
      <c r="AB4" s="32">
        <v>44927.0</v>
      </c>
      <c r="AC4" s="32">
        <v>44958.0</v>
      </c>
      <c r="AD4" s="32">
        <v>44986.0</v>
      </c>
      <c r="AE4" s="32">
        <v>45017.0</v>
      </c>
      <c r="AF4" s="32">
        <v>45047.0</v>
      </c>
      <c r="AG4" s="32">
        <v>45078.0</v>
      </c>
      <c r="AH4" s="32">
        <v>45108.0</v>
      </c>
      <c r="AI4" s="32">
        <v>45139.0</v>
      </c>
      <c r="AJ4" s="32">
        <v>45170.0</v>
      </c>
      <c r="AK4" s="32">
        <v>45200.0</v>
      </c>
      <c r="AL4" s="32">
        <v>45231.0</v>
      </c>
      <c r="AM4" s="32">
        <v>45261.0</v>
      </c>
      <c r="AN4" s="32"/>
      <c r="AO4" s="32"/>
      <c r="AP4" s="32"/>
      <c r="AQ4" s="32"/>
      <c r="AR4" s="32"/>
      <c r="AS4" s="32"/>
    </row>
    <row r="5" ht="15.75" customHeight="1">
      <c r="A5" s="1"/>
      <c r="B5" s="1"/>
      <c r="C5" s="2"/>
      <c r="D5" s="17"/>
      <c r="E5" s="17"/>
      <c r="F5" s="1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ht="15.75" customHeight="1">
      <c r="A6" s="1" t="s">
        <v>3</v>
      </c>
      <c r="B6" s="1"/>
      <c r="C6" s="2"/>
      <c r="D6" s="8">
        <f t="shared" ref="D6:AM6" si="1">SUM(D7)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  <c r="I6" s="8">
        <f t="shared" si="1"/>
        <v>0</v>
      </c>
      <c r="J6" s="8">
        <f t="shared" si="1"/>
        <v>0</v>
      </c>
      <c r="K6" s="8">
        <f t="shared" si="1"/>
        <v>0</v>
      </c>
      <c r="L6" s="8">
        <f t="shared" si="1"/>
        <v>15493.33333</v>
      </c>
      <c r="M6" s="8">
        <f t="shared" si="1"/>
        <v>55607.01754</v>
      </c>
      <c r="N6" s="8">
        <f t="shared" si="1"/>
        <v>58696.2963</v>
      </c>
      <c r="O6" s="8">
        <f t="shared" si="1"/>
        <v>61490.19608</v>
      </c>
      <c r="P6" s="8">
        <f t="shared" si="1"/>
        <v>59500</v>
      </c>
      <c r="Q6" s="8">
        <f t="shared" si="1"/>
        <v>63466.66667</v>
      </c>
      <c r="R6" s="8">
        <f t="shared" si="1"/>
        <v>63466.66667</v>
      </c>
      <c r="S6" s="8">
        <f t="shared" si="1"/>
        <v>63466.66667</v>
      </c>
      <c r="T6" s="8">
        <f t="shared" si="1"/>
        <v>63466.66667</v>
      </c>
      <c r="U6" s="8">
        <f t="shared" si="1"/>
        <v>63466.66667</v>
      </c>
      <c r="V6" s="8">
        <f t="shared" si="1"/>
        <v>63466.66667</v>
      </c>
      <c r="W6" s="8">
        <f t="shared" si="1"/>
        <v>63466.66667</v>
      </c>
      <c r="X6" s="8">
        <f t="shared" si="1"/>
        <v>163022.2222</v>
      </c>
      <c r="Y6" s="8">
        <f t="shared" si="1"/>
        <v>163022.2222</v>
      </c>
      <c r="Z6" s="8">
        <f t="shared" si="1"/>
        <v>163022.2222</v>
      </c>
      <c r="AA6" s="8">
        <f t="shared" si="1"/>
        <v>163022.2222</v>
      </c>
      <c r="AB6" s="8">
        <f t="shared" si="1"/>
        <v>150577.7778</v>
      </c>
      <c r="AC6" s="8">
        <f t="shared" si="1"/>
        <v>150577.7778</v>
      </c>
      <c r="AD6" s="8">
        <f t="shared" si="1"/>
        <v>150577.7778</v>
      </c>
      <c r="AE6" s="8">
        <f t="shared" si="1"/>
        <v>150577.7778</v>
      </c>
      <c r="AF6" s="8">
        <f t="shared" si="1"/>
        <v>150577.7778</v>
      </c>
      <c r="AG6" s="8">
        <f t="shared" si="1"/>
        <v>150577.7778</v>
      </c>
      <c r="AH6" s="8">
        <f t="shared" si="1"/>
        <v>150577.7778</v>
      </c>
      <c r="AI6" s="8">
        <f t="shared" si="1"/>
        <v>150577.7778</v>
      </c>
      <c r="AJ6" s="8">
        <f t="shared" si="1"/>
        <v>200355.5556</v>
      </c>
      <c r="AK6" s="8">
        <f t="shared" si="1"/>
        <v>200355.5556</v>
      </c>
      <c r="AL6" s="8">
        <f t="shared" si="1"/>
        <v>200355.5556</v>
      </c>
      <c r="AM6" s="8">
        <f t="shared" si="1"/>
        <v>200355.5556</v>
      </c>
      <c r="AN6" s="2"/>
      <c r="AO6" s="2"/>
      <c r="AP6" s="2"/>
      <c r="AQ6" s="2"/>
      <c r="AR6" s="2"/>
      <c r="AS6" s="2"/>
    </row>
    <row r="7" ht="15.75" customHeight="1">
      <c r="A7" s="1"/>
      <c r="B7" s="9" t="s">
        <v>6</v>
      </c>
      <c r="C7" s="2" t="s">
        <v>7</v>
      </c>
      <c r="D7" s="8">
        <v>0.0</v>
      </c>
      <c r="E7" s="8">
        <v>0.0</v>
      </c>
      <c r="F7" s="8">
        <v>0.0</v>
      </c>
      <c r="G7" s="8">
        <v>0.0</v>
      </c>
      <c r="H7" s="8">
        <v>0.0</v>
      </c>
      <c r="I7" s="8">
        <v>0.0</v>
      </c>
      <c r="J7" s="8">
        <v>0.0</v>
      </c>
      <c r="K7" s="8">
        <v>0.0</v>
      </c>
      <c r="L7" s="8">
        <f>(((L34)/'Serviceable Obtainable Market'!$B$32)*'Serviceable Obtainable Market'!$B$26*'Serviceable Obtainable Market'!$B$24)</f>
        <v>15493.33333</v>
      </c>
      <c r="M7" s="8">
        <f>((((M34)/'Serviceable Obtainable Market'!$C$32)*'Serviceable Obtainable Market'!$B$26*'Serviceable Obtainable Market'!$B$24))</f>
        <v>55607.01754</v>
      </c>
      <c r="N7" s="8">
        <f>(((N34)/'Serviceable Obtainable Market'!$D$32)*'Serviceable Obtainable Market'!$B$26*'Serviceable Obtainable Market'!$B$24)</f>
        <v>58696.2963</v>
      </c>
      <c r="O7" s="8">
        <f>(((O34)/'Serviceable Obtainable Market'!$E$32)*'Serviceable Obtainable Market'!$B$26*'Serviceable Obtainable Market'!$B$24)</f>
        <v>61490.19608</v>
      </c>
      <c r="P7" s="8">
        <f>((P34)/'Serviceable Obtainable Market'!$F$32)*'Serviceable Obtainable Market'!$B$26*'Serviceable Obtainable Market'!$B$24</f>
        <v>59500</v>
      </c>
      <c r="Q7" s="8">
        <f>((Q34)/'Serviceable Obtainable Market'!$B$28)*'Serviceable Obtainable Market'!$B$26*'Serviceable Obtainable Market'!$B$24</f>
        <v>63466.66667</v>
      </c>
      <c r="R7" s="8">
        <f>((R34)/'Serviceable Obtainable Market'!$B$28)*'Serviceable Obtainable Market'!$B$26*'Serviceable Obtainable Market'!$B$24</f>
        <v>63466.66667</v>
      </c>
      <c r="S7" s="8">
        <f>((S34)/'Serviceable Obtainable Market'!$B$28)*'Serviceable Obtainable Market'!$B$26*'Serviceable Obtainable Market'!$B$24</f>
        <v>63466.66667</v>
      </c>
      <c r="T7" s="8">
        <f>((T34)/'Serviceable Obtainable Market'!$B$28)*'Serviceable Obtainable Market'!$B$26*'Serviceable Obtainable Market'!$B$24</f>
        <v>63466.66667</v>
      </c>
      <c r="U7" s="8">
        <f>((U34)/'Serviceable Obtainable Market'!$B$28)*'Serviceable Obtainable Market'!$B$26*'Serviceable Obtainable Market'!$B$24</f>
        <v>63466.66667</v>
      </c>
      <c r="V7" s="8">
        <f>((V34)/'Serviceable Obtainable Market'!$B$28)*'Serviceable Obtainable Market'!$B$26*'Serviceable Obtainable Market'!$B$24</f>
        <v>63466.66667</v>
      </c>
      <c r="W7" s="8">
        <f>((W34)/'Serviceable Obtainable Market'!$B$28)*'Serviceable Obtainable Market'!$B$26*'Serviceable Obtainable Market'!$B$24</f>
        <v>63466.66667</v>
      </c>
      <c r="X7" s="8">
        <f>((X34)/'Serviceable Obtainable Market'!$B$28)*'Serviceable Obtainable Market'!$B$26*'Serviceable Obtainable Market'!$B$24</f>
        <v>163022.2222</v>
      </c>
      <c r="Y7" s="8">
        <f>((Y34)/'Serviceable Obtainable Market'!$B$28)*'Serviceable Obtainable Market'!$B$26*'Serviceable Obtainable Market'!$B$24</f>
        <v>163022.2222</v>
      </c>
      <c r="Z7" s="8">
        <f>((Z34)/'Serviceable Obtainable Market'!$B$28)*'Serviceable Obtainable Market'!$B$26*'Serviceable Obtainable Market'!$B$24</f>
        <v>163022.2222</v>
      </c>
      <c r="AA7" s="8">
        <f>((AA34)/'Serviceable Obtainable Market'!$B$28)*'Serviceable Obtainable Market'!$B$26*'Serviceable Obtainable Market'!$B$24</f>
        <v>163022.2222</v>
      </c>
      <c r="AB7" s="8">
        <f>((AB34)/'Serviceable Obtainable Market'!$B$28)*'Serviceable Obtainable Market'!$B$26*'Serviceable Obtainable Market'!$B$24</f>
        <v>150577.7778</v>
      </c>
      <c r="AC7" s="8">
        <f>((AC34)/'Serviceable Obtainable Market'!$B$28)*'Serviceable Obtainable Market'!$B$26*'Serviceable Obtainable Market'!$B$24</f>
        <v>150577.7778</v>
      </c>
      <c r="AD7" s="8">
        <f>((AD34)/'Serviceable Obtainable Market'!$B$28)*'Serviceable Obtainable Market'!$B$26*'Serviceable Obtainable Market'!$B$24</f>
        <v>150577.7778</v>
      </c>
      <c r="AE7" s="8">
        <f>((AE34)/'Serviceable Obtainable Market'!$B$28)*'Serviceable Obtainable Market'!$B$26*'Serviceable Obtainable Market'!$B$24</f>
        <v>150577.7778</v>
      </c>
      <c r="AF7" s="8">
        <f>((AF34)/'Serviceable Obtainable Market'!$B$28)*'Serviceable Obtainable Market'!$B$26*'Serviceable Obtainable Market'!$B$24</f>
        <v>150577.7778</v>
      </c>
      <c r="AG7" s="8">
        <f>((AG34)/'Serviceable Obtainable Market'!$B$28)*'Serviceable Obtainable Market'!$B$26*'Serviceable Obtainable Market'!$B$24</f>
        <v>150577.7778</v>
      </c>
      <c r="AH7" s="8">
        <f>((AH34)/'Serviceable Obtainable Market'!$B$28)*'Serviceable Obtainable Market'!$B$26*'Serviceable Obtainable Market'!$B$24</f>
        <v>150577.7778</v>
      </c>
      <c r="AI7" s="8">
        <f>((AI34)/'Serviceable Obtainable Market'!$B$28)*'Serviceable Obtainable Market'!$B$26*'Serviceable Obtainable Market'!$B$24</f>
        <v>150577.7778</v>
      </c>
      <c r="AJ7" s="8">
        <f>((AJ34)/'Serviceable Obtainable Market'!$B$28)*'Serviceable Obtainable Market'!$B$26*'Serviceable Obtainable Market'!$B$24</f>
        <v>200355.5556</v>
      </c>
      <c r="AK7" s="8">
        <f>((AK34)/'Serviceable Obtainable Market'!$B$28)*'Serviceable Obtainable Market'!$B$26*'Serviceable Obtainable Market'!$B$24</f>
        <v>200355.5556</v>
      </c>
      <c r="AL7" s="8">
        <f>((AL34)/'Serviceable Obtainable Market'!$B$28)*'Serviceable Obtainable Market'!$B$26*'Serviceable Obtainable Market'!$B$24</f>
        <v>200355.5556</v>
      </c>
      <c r="AM7" s="8">
        <f>((AM34)/'Serviceable Obtainable Market'!$B$28)*'Serviceable Obtainable Market'!$B$26*'Serviceable Obtainable Market'!$B$24</f>
        <v>200355.5556</v>
      </c>
      <c r="AN7" s="2"/>
      <c r="AO7" s="2"/>
      <c r="AP7" s="2"/>
      <c r="AQ7" s="2"/>
      <c r="AR7" s="2"/>
      <c r="AS7" s="2"/>
    </row>
    <row r="8" ht="15.75" customHeight="1">
      <c r="A8" s="1"/>
      <c r="B8" s="2"/>
      <c r="C8" s="2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2"/>
      <c r="AO8" s="2"/>
      <c r="AP8" s="2"/>
      <c r="AQ8" s="2"/>
      <c r="AR8" s="2"/>
      <c r="AS8" s="2"/>
    </row>
    <row r="9" ht="15.75" customHeight="1">
      <c r="A9" s="1" t="s">
        <v>15</v>
      </c>
      <c r="B9" s="1"/>
      <c r="C9" s="2"/>
      <c r="D9" s="8"/>
      <c r="E9" s="8"/>
      <c r="F9" s="8"/>
      <c r="G9" s="8"/>
      <c r="H9" s="8"/>
      <c r="I9" s="8"/>
      <c r="J9" s="8"/>
      <c r="K9" s="8"/>
      <c r="L9" s="38"/>
      <c r="M9" s="39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2"/>
      <c r="AO9" s="2"/>
      <c r="AP9" s="2"/>
      <c r="AQ9" s="2"/>
      <c r="AR9" s="2"/>
      <c r="AS9" s="2"/>
    </row>
    <row r="10" ht="15.75" customHeight="1">
      <c r="A10" s="1"/>
      <c r="B10" s="1" t="s">
        <v>16</v>
      </c>
      <c r="C10" s="2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2"/>
      <c r="AO10" s="2"/>
      <c r="AP10" s="2"/>
      <c r="AQ10" s="2"/>
      <c r="AR10" s="2"/>
      <c r="AS10" s="2"/>
    </row>
    <row r="11" ht="15.75" customHeight="1">
      <c r="A11" s="1"/>
      <c r="B11" s="1"/>
      <c r="C11" s="2" t="s">
        <v>17</v>
      </c>
      <c r="D11" s="8">
        <v>0.0</v>
      </c>
      <c r="E11" s="8">
        <v>0.0</v>
      </c>
      <c r="F11" s="8">
        <v>0.0</v>
      </c>
      <c r="G11" s="8">
        <v>5250.0</v>
      </c>
      <c r="H11" s="8">
        <v>5250.0</v>
      </c>
      <c r="I11" s="8">
        <v>0.0</v>
      </c>
      <c r="J11" s="8">
        <v>0.0</v>
      </c>
      <c r="K11" s="8">
        <v>0.0</v>
      </c>
      <c r="L11" s="8">
        <v>0.0</v>
      </c>
      <c r="M11" s="8">
        <v>0.0</v>
      </c>
      <c r="N11" s="8">
        <v>0.0</v>
      </c>
      <c r="O11" s="8">
        <v>0.0</v>
      </c>
      <c r="P11" s="8">
        <v>0.0</v>
      </c>
      <c r="Q11" s="8">
        <v>0.0</v>
      </c>
      <c r="R11" s="8">
        <v>0.0</v>
      </c>
      <c r="S11" s="8">
        <v>0.0</v>
      </c>
      <c r="T11" s="8">
        <v>0.0</v>
      </c>
      <c r="U11" s="8">
        <v>0.0</v>
      </c>
      <c r="V11" s="8">
        <v>0.0</v>
      </c>
      <c r="W11" s="8">
        <v>0.0</v>
      </c>
      <c r="X11" s="8">
        <v>0.0</v>
      </c>
      <c r="Y11" s="8">
        <v>0.0</v>
      </c>
      <c r="Z11" s="8">
        <v>0.0</v>
      </c>
      <c r="AA11" s="8">
        <v>0.0</v>
      </c>
      <c r="AB11" s="8">
        <v>0.0</v>
      </c>
      <c r="AC11" s="8">
        <v>0.0</v>
      </c>
      <c r="AD11" s="8">
        <v>0.0</v>
      </c>
      <c r="AE11" s="8">
        <v>0.0</v>
      </c>
      <c r="AF11" s="8">
        <v>0.0</v>
      </c>
      <c r="AG11" s="8">
        <v>0.0</v>
      </c>
      <c r="AH11" s="8">
        <v>0.0</v>
      </c>
      <c r="AI11" s="8">
        <v>0.0</v>
      </c>
      <c r="AJ11" s="8">
        <v>0.0</v>
      </c>
      <c r="AK11" s="8">
        <v>0.0</v>
      </c>
      <c r="AL11" s="8">
        <v>0.0</v>
      </c>
      <c r="AM11" s="8">
        <v>0.0</v>
      </c>
      <c r="AN11" s="2"/>
      <c r="AO11" s="2"/>
      <c r="AP11" s="2"/>
      <c r="AQ11" s="2"/>
      <c r="AR11" s="2"/>
      <c r="AS11" s="2"/>
    </row>
    <row r="12" ht="15.75" customHeight="1">
      <c r="A12" s="1"/>
      <c r="B12" s="2"/>
      <c r="C12" s="2" t="s">
        <v>18</v>
      </c>
      <c r="D12" s="8">
        <v>0.0</v>
      </c>
      <c r="E12" s="8">
        <v>0.0</v>
      </c>
      <c r="F12" s="38">
        <v>0.0</v>
      </c>
      <c r="G12" s="8">
        <v>5500.0</v>
      </c>
      <c r="H12" s="8">
        <v>0.0</v>
      </c>
      <c r="I12" s="8">
        <v>5500.0</v>
      </c>
      <c r="J12" s="8">
        <v>13625.0</v>
      </c>
      <c r="K12" s="8">
        <v>2625.0</v>
      </c>
      <c r="L12" s="8">
        <v>0.0</v>
      </c>
      <c r="M12" s="8">
        <v>0.0</v>
      </c>
      <c r="N12" s="8">
        <v>0.0</v>
      </c>
      <c r="O12" s="8">
        <v>0.0</v>
      </c>
      <c r="P12" s="8">
        <v>0.0</v>
      </c>
      <c r="Q12" s="8">
        <v>0.0</v>
      </c>
      <c r="R12" s="8">
        <v>0.0</v>
      </c>
      <c r="S12" s="8">
        <v>0.0</v>
      </c>
      <c r="T12" s="8">
        <v>0.0</v>
      </c>
      <c r="U12" s="8">
        <v>0.0</v>
      </c>
      <c r="V12" s="8">
        <v>0.0</v>
      </c>
      <c r="W12" s="8">
        <v>0.0</v>
      </c>
      <c r="X12" s="8">
        <v>0.0</v>
      </c>
      <c r="Y12" s="8">
        <v>0.0</v>
      </c>
      <c r="Z12" s="8">
        <v>0.0</v>
      </c>
      <c r="AA12" s="8">
        <v>0.0</v>
      </c>
      <c r="AB12" s="8">
        <v>0.0</v>
      </c>
      <c r="AC12" s="8">
        <v>0.0</v>
      </c>
      <c r="AD12" s="8">
        <v>0.0</v>
      </c>
      <c r="AE12" s="8">
        <v>0.0</v>
      </c>
      <c r="AF12" s="8">
        <v>0.0</v>
      </c>
      <c r="AG12" s="8">
        <v>0.0</v>
      </c>
      <c r="AH12" s="8">
        <v>0.0</v>
      </c>
      <c r="AI12" s="8">
        <v>0.0</v>
      </c>
      <c r="AJ12" s="8">
        <v>0.0</v>
      </c>
      <c r="AK12" s="8">
        <v>0.0</v>
      </c>
      <c r="AL12" s="8">
        <v>0.0</v>
      </c>
      <c r="AM12" s="8">
        <v>0.0</v>
      </c>
      <c r="AN12" s="2"/>
      <c r="AO12" s="2"/>
      <c r="AP12" s="2"/>
      <c r="AQ12" s="2"/>
      <c r="AR12" s="2"/>
      <c r="AS12" s="2"/>
    </row>
    <row r="13" ht="15.75" customHeight="1">
      <c r="A13" s="1"/>
      <c r="B13" s="2"/>
      <c r="C13" s="10" t="s">
        <v>19</v>
      </c>
      <c r="D13" s="8">
        <f>'Monthly Budget'!D3</f>
        <v>3000</v>
      </c>
      <c r="E13" s="8">
        <f>'Monthly Budget'!$D$3</f>
        <v>3000</v>
      </c>
      <c r="F13" s="8">
        <f>'Monthly Budget'!$D$3</f>
        <v>3000</v>
      </c>
      <c r="G13" s="8">
        <f>'Monthly Budget'!$D$3</f>
        <v>3000</v>
      </c>
      <c r="H13" s="8">
        <f>'Monthly Budget'!$D$3</f>
        <v>3000</v>
      </c>
      <c r="I13" s="8">
        <v>0.0</v>
      </c>
      <c r="J13" s="8">
        <v>0.0</v>
      </c>
      <c r="K13" s="8">
        <v>0.0</v>
      </c>
      <c r="L13" s="8">
        <v>0.0</v>
      </c>
      <c r="M13" s="8">
        <f>'Monthly Budget'!$D$3</f>
        <v>3000</v>
      </c>
      <c r="N13" s="8">
        <f>'Monthly Budget'!$D$3</f>
        <v>3000</v>
      </c>
      <c r="O13" s="8">
        <f>'Monthly Budget'!$D$3</f>
        <v>3000</v>
      </c>
      <c r="P13" s="8">
        <f>'Monthly Budget'!$D$3</f>
        <v>3000</v>
      </c>
      <c r="Q13" s="8">
        <v>0.0</v>
      </c>
      <c r="R13" s="8">
        <v>0.0</v>
      </c>
      <c r="S13" s="8">
        <v>0.0</v>
      </c>
      <c r="T13" s="8">
        <f>'Monthly Budget'!$D$3</f>
        <v>3000</v>
      </c>
      <c r="U13" s="8">
        <f>'Monthly Budget'!$D$3</f>
        <v>3000</v>
      </c>
      <c r="V13" s="8">
        <f>'Monthly Budget'!$D$3</f>
        <v>3000</v>
      </c>
      <c r="W13" s="8">
        <f>'Monthly Budget'!$D$3</f>
        <v>3000</v>
      </c>
      <c r="X13" s="8">
        <v>0.0</v>
      </c>
      <c r="Y13" s="8">
        <v>0.0</v>
      </c>
      <c r="Z13" s="8">
        <v>0.0</v>
      </c>
      <c r="AA13" s="8">
        <f>'Monthly Budget'!$D$3</f>
        <v>3000</v>
      </c>
      <c r="AB13" s="8">
        <f>'Monthly Budget'!$D$3</f>
        <v>3000</v>
      </c>
      <c r="AC13" s="8">
        <f>'Monthly Budget'!$D$3</f>
        <v>3000</v>
      </c>
      <c r="AD13" s="8">
        <f>'Monthly Budget'!$D$3</f>
        <v>3000</v>
      </c>
      <c r="AE13" s="8">
        <v>0.0</v>
      </c>
      <c r="AF13" s="8">
        <v>0.0</v>
      </c>
      <c r="AG13" s="8">
        <v>0.0</v>
      </c>
      <c r="AH13" s="8">
        <v>0.0</v>
      </c>
      <c r="AI13" s="8">
        <v>3000.0</v>
      </c>
      <c r="AJ13" s="8">
        <v>3000.0</v>
      </c>
      <c r="AK13" s="8">
        <v>3000.0</v>
      </c>
      <c r="AL13" s="8">
        <v>3000.0</v>
      </c>
      <c r="AM13" s="8">
        <v>0.0</v>
      </c>
      <c r="AN13" s="2"/>
      <c r="AO13" s="2"/>
      <c r="AP13" s="2"/>
      <c r="AQ13" s="2"/>
      <c r="AR13" s="2"/>
      <c r="AS13" s="2"/>
    </row>
    <row r="14" ht="15.75" customHeight="1">
      <c r="A14" s="1"/>
      <c r="B14" s="2"/>
      <c r="C14" s="13" t="s">
        <v>20</v>
      </c>
      <c r="D14" s="8">
        <v>0.0</v>
      </c>
      <c r="E14" s="8">
        <v>0.0</v>
      </c>
      <c r="F14" s="8">
        <v>0.0</v>
      </c>
      <c r="G14" s="8">
        <v>0.0</v>
      </c>
      <c r="H14" s="8">
        <f>'Prime Labs Estimated Cost'!K6*0.5</f>
        <v>43462.5</v>
      </c>
      <c r="I14" s="8">
        <f>'Prime Labs Estimated Cost'!$K$6*0.5</f>
        <v>43462.5</v>
      </c>
      <c r="J14" s="8">
        <v>0.0</v>
      </c>
      <c r="K14" s="8">
        <v>0.0</v>
      </c>
      <c r="L14" s="8">
        <v>0.0</v>
      </c>
      <c r="M14" s="8">
        <v>0.0</v>
      </c>
      <c r="N14" s="8">
        <v>0.0</v>
      </c>
      <c r="O14" s="8">
        <v>0.0</v>
      </c>
      <c r="P14" s="8">
        <v>0.0</v>
      </c>
      <c r="Q14" s="8">
        <v>0.0</v>
      </c>
      <c r="R14" s="8">
        <f>'Prime Labs Estimated Cost'!C22/2</f>
        <v>144119.5173</v>
      </c>
      <c r="S14" s="8">
        <f>'Prime Labs Estimated Cost'!C22/2</f>
        <v>144119.5173</v>
      </c>
      <c r="T14" s="8">
        <v>0.0</v>
      </c>
      <c r="U14" s="8">
        <v>0.0</v>
      </c>
      <c r="V14" s="8">
        <v>0.0</v>
      </c>
      <c r="W14" s="8">
        <v>0.0</v>
      </c>
      <c r="X14" s="8">
        <v>0.0</v>
      </c>
      <c r="Y14" s="8">
        <f>'Prime Labs Estimated Cost'!$D$22/4</f>
        <v>124587.6</v>
      </c>
      <c r="Z14" s="8">
        <f>'Prime Labs Estimated Cost'!$D$22/4</f>
        <v>124587.6</v>
      </c>
      <c r="AA14" s="8">
        <f>'Prime Labs Estimated Cost'!$D$22/4</f>
        <v>124587.6</v>
      </c>
      <c r="AB14" s="8">
        <f>'Prime Labs Estimated Cost'!$D$22/4</f>
        <v>124587.6</v>
      </c>
      <c r="AC14" s="8">
        <v>0.0</v>
      </c>
      <c r="AD14" s="8">
        <v>0.0</v>
      </c>
      <c r="AE14" s="8">
        <v>0.0</v>
      </c>
      <c r="AF14" s="8">
        <v>0.0</v>
      </c>
      <c r="AG14" s="8">
        <v>0.0</v>
      </c>
      <c r="AH14" s="8">
        <v>0.0</v>
      </c>
      <c r="AI14" s="8">
        <v>0.0</v>
      </c>
      <c r="AJ14" s="8">
        <v>0.0</v>
      </c>
      <c r="AK14" s="8">
        <v>0.0</v>
      </c>
      <c r="AL14" s="8">
        <v>0.0</v>
      </c>
      <c r="AM14" s="8">
        <v>0.0</v>
      </c>
      <c r="AN14" s="2"/>
      <c r="AO14" s="2"/>
      <c r="AP14" s="2"/>
      <c r="AQ14" s="2"/>
      <c r="AR14" s="2"/>
      <c r="AS14" s="2"/>
    </row>
    <row r="15" ht="15.75" customHeight="1">
      <c r="A15" s="1"/>
      <c r="B15" s="2"/>
      <c r="C15" s="10" t="s">
        <v>21</v>
      </c>
      <c r="D15" s="8">
        <v>0.0</v>
      </c>
      <c r="E15" s="8">
        <v>0.0</v>
      </c>
      <c r="F15" s="8">
        <v>0.0</v>
      </c>
      <c r="G15" s="8">
        <v>0.0</v>
      </c>
      <c r="H15" s="8">
        <v>0.0</v>
      </c>
      <c r="I15" s="8">
        <f t="shared" ref="I15:AM15" si="2">370*0.7</f>
        <v>259</v>
      </c>
      <c r="J15" s="8">
        <f t="shared" si="2"/>
        <v>259</v>
      </c>
      <c r="K15" s="8">
        <f t="shared" si="2"/>
        <v>259</v>
      </c>
      <c r="L15" s="8">
        <f t="shared" si="2"/>
        <v>259</v>
      </c>
      <c r="M15" s="8">
        <f t="shared" si="2"/>
        <v>259</v>
      </c>
      <c r="N15" s="8">
        <f t="shared" si="2"/>
        <v>259</v>
      </c>
      <c r="O15" s="8">
        <f t="shared" si="2"/>
        <v>259</v>
      </c>
      <c r="P15" s="8">
        <f t="shared" si="2"/>
        <v>259</v>
      </c>
      <c r="Q15" s="8">
        <f t="shared" si="2"/>
        <v>259</v>
      </c>
      <c r="R15" s="8">
        <f t="shared" si="2"/>
        <v>259</v>
      </c>
      <c r="S15" s="8">
        <f t="shared" si="2"/>
        <v>259</v>
      </c>
      <c r="T15" s="8">
        <f t="shared" si="2"/>
        <v>259</v>
      </c>
      <c r="U15" s="8">
        <f t="shared" si="2"/>
        <v>259</v>
      </c>
      <c r="V15" s="8">
        <f t="shared" si="2"/>
        <v>259</v>
      </c>
      <c r="W15" s="8">
        <f t="shared" si="2"/>
        <v>259</v>
      </c>
      <c r="X15" s="8">
        <f t="shared" si="2"/>
        <v>259</v>
      </c>
      <c r="Y15" s="8">
        <f t="shared" si="2"/>
        <v>259</v>
      </c>
      <c r="Z15" s="8">
        <f t="shared" si="2"/>
        <v>259</v>
      </c>
      <c r="AA15" s="8">
        <f t="shared" si="2"/>
        <v>259</v>
      </c>
      <c r="AB15" s="8">
        <f t="shared" si="2"/>
        <v>259</v>
      </c>
      <c r="AC15" s="8">
        <f t="shared" si="2"/>
        <v>259</v>
      </c>
      <c r="AD15" s="8">
        <f t="shared" si="2"/>
        <v>259</v>
      </c>
      <c r="AE15" s="8">
        <f t="shared" si="2"/>
        <v>259</v>
      </c>
      <c r="AF15" s="8">
        <f t="shared" si="2"/>
        <v>259</v>
      </c>
      <c r="AG15" s="8">
        <f t="shared" si="2"/>
        <v>259</v>
      </c>
      <c r="AH15" s="8">
        <f t="shared" si="2"/>
        <v>259</v>
      </c>
      <c r="AI15" s="8">
        <f t="shared" si="2"/>
        <v>259</v>
      </c>
      <c r="AJ15" s="8">
        <f t="shared" si="2"/>
        <v>259</v>
      </c>
      <c r="AK15" s="8">
        <f t="shared" si="2"/>
        <v>259</v>
      </c>
      <c r="AL15" s="8">
        <f t="shared" si="2"/>
        <v>259</v>
      </c>
      <c r="AM15" s="8">
        <f t="shared" si="2"/>
        <v>259</v>
      </c>
      <c r="AN15" s="2"/>
      <c r="AO15" s="2"/>
      <c r="AP15" s="2"/>
      <c r="AQ15" s="2"/>
      <c r="AR15" s="2"/>
      <c r="AS15" s="2"/>
    </row>
    <row r="16" ht="15.75" customHeight="1">
      <c r="A16" s="2"/>
      <c r="B16" s="2"/>
      <c r="C16" s="1" t="s">
        <v>70</v>
      </c>
      <c r="D16" s="8">
        <v>0.0</v>
      </c>
      <c r="E16" s="8">
        <v>0.0</v>
      </c>
      <c r="F16" s="8">
        <v>0.0</v>
      </c>
      <c r="G16" s="8">
        <v>0.0</v>
      </c>
      <c r="H16" s="8">
        <v>0.0</v>
      </c>
      <c r="I16" s="8">
        <v>0.0</v>
      </c>
      <c r="J16" s="8">
        <v>0.0</v>
      </c>
      <c r="K16" s="8">
        <f>'Prime Labs Estimated Cost'!$B$28/5</f>
        <v>10.8</v>
      </c>
      <c r="L16" s="8">
        <f>'Prime Labs Estimated Cost'!$B$28/5</f>
        <v>10.8</v>
      </c>
      <c r="M16" s="8">
        <f>'Prime Labs Estimated Cost'!$B$28/5</f>
        <v>10.8</v>
      </c>
      <c r="N16" s="8">
        <f>'Prime Labs Estimated Cost'!$B$28/5</f>
        <v>10.8</v>
      </c>
      <c r="O16" s="8">
        <f>'Prime Labs Estimated Cost'!$B$28/5</f>
        <v>10.8</v>
      </c>
      <c r="P16" s="8">
        <f>'Prime Labs Estimated Cost'!$C$28/12</f>
        <v>15.70713598</v>
      </c>
      <c r="Q16" s="8">
        <f>'Prime Labs Estimated Cost'!$C$28/12</f>
        <v>15.70713598</v>
      </c>
      <c r="R16" s="8">
        <f>'Prime Labs Estimated Cost'!$C$28/12</f>
        <v>15.70713598</v>
      </c>
      <c r="S16" s="8">
        <f>'Prime Labs Estimated Cost'!$C$28/12</f>
        <v>15.70713598</v>
      </c>
      <c r="T16" s="8">
        <f>'Prime Labs Estimated Cost'!$C$28/12</f>
        <v>15.70713598</v>
      </c>
      <c r="U16" s="8">
        <f>'Prime Labs Estimated Cost'!$C$28/12</f>
        <v>15.70713598</v>
      </c>
      <c r="V16" s="8">
        <f>'Prime Labs Estimated Cost'!$C$28/12</f>
        <v>15.70713598</v>
      </c>
      <c r="W16" s="8">
        <f>'Prime Labs Estimated Cost'!$C$28/12</f>
        <v>15.70713598</v>
      </c>
      <c r="X16" s="8">
        <f>'Prime Labs Estimated Cost'!$C$28/12</f>
        <v>15.70713598</v>
      </c>
      <c r="Y16" s="8">
        <f>'Prime Labs Estimated Cost'!$C$28/12</f>
        <v>15.70713598</v>
      </c>
      <c r="Z16" s="8">
        <f>'Prime Labs Estimated Cost'!$C$28/12</f>
        <v>15.70713598</v>
      </c>
      <c r="AA16" s="8">
        <f>'Prime Labs Estimated Cost'!$C$28/12</f>
        <v>15.70713598</v>
      </c>
      <c r="AB16" s="8">
        <f>'Prime Labs Estimated Cost'!$D$28/12</f>
        <v>30.09066667</v>
      </c>
      <c r="AC16" s="8">
        <f>'Prime Labs Estimated Cost'!$D$28/12</f>
        <v>30.09066667</v>
      </c>
      <c r="AD16" s="8">
        <f>'Prime Labs Estimated Cost'!$D$28/12</f>
        <v>30.09066667</v>
      </c>
      <c r="AE16" s="8">
        <f>'Prime Labs Estimated Cost'!$D$28/12</f>
        <v>30.09066667</v>
      </c>
      <c r="AF16" s="8">
        <f>'Prime Labs Estimated Cost'!$D$28/12</f>
        <v>30.09066667</v>
      </c>
      <c r="AG16" s="8">
        <f>'Prime Labs Estimated Cost'!$D$28/12</f>
        <v>30.09066667</v>
      </c>
      <c r="AH16" s="8">
        <f>'Prime Labs Estimated Cost'!$D$28/12</f>
        <v>30.09066667</v>
      </c>
      <c r="AI16" s="8">
        <f>'Prime Labs Estimated Cost'!$D$28/12</f>
        <v>30.09066667</v>
      </c>
      <c r="AJ16" s="8">
        <f>'Prime Labs Estimated Cost'!$D$28/12</f>
        <v>30.09066667</v>
      </c>
      <c r="AK16" s="8">
        <f>'Prime Labs Estimated Cost'!$D$28/12</f>
        <v>30.09066667</v>
      </c>
      <c r="AL16" s="8">
        <f>'Prime Labs Estimated Cost'!$D$28/12</f>
        <v>30.09066667</v>
      </c>
      <c r="AM16" s="8">
        <f>'Prime Labs Estimated Cost'!$D$28/12</f>
        <v>30.09066667</v>
      </c>
      <c r="AN16" s="2"/>
      <c r="AO16" s="2"/>
      <c r="AP16" s="2"/>
      <c r="AQ16" s="2"/>
      <c r="AR16" s="2"/>
      <c r="AS16" s="2"/>
    </row>
    <row r="17" ht="15.75" customHeight="1">
      <c r="A17" s="2"/>
      <c r="B17" s="2"/>
      <c r="C17" s="1" t="s">
        <v>53</v>
      </c>
      <c r="D17" s="8">
        <f t="shared" ref="D17:AM17" si="3">sum(D11:D16)</f>
        <v>3000</v>
      </c>
      <c r="E17" s="8">
        <f t="shared" si="3"/>
        <v>3000</v>
      </c>
      <c r="F17" s="8">
        <f t="shared" si="3"/>
        <v>3000</v>
      </c>
      <c r="G17" s="8">
        <f t="shared" si="3"/>
        <v>13750</v>
      </c>
      <c r="H17" s="8">
        <f t="shared" si="3"/>
        <v>51712.5</v>
      </c>
      <c r="I17" s="8">
        <f t="shared" si="3"/>
        <v>49221.5</v>
      </c>
      <c r="J17" s="8">
        <f t="shared" si="3"/>
        <v>13884</v>
      </c>
      <c r="K17" s="8">
        <f t="shared" si="3"/>
        <v>2894.8</v>
      </c>
      <c r="L17" s="8">
        <f t="shared" si="3"/>
        <v>269.8</v>
      </c>
      <c r="M17" s="8">
        <f t="shared" si="3"/>
        <v>3269.8</v>
      </c>
      <c r="N17" s="8">
        <f t="shared" si="3"/>
        <v>3269.8</v>
      </c>
      <c r="O17" s="8">
        <f t="shared" si="3"/>
        <v>3269.8</v>
      </c>
      <c r="P17" s="8">
        <f t="shared" si="3"/>
        <v>3274.707136</v>
      </c>
      <c r="Q17" s="8">
        <f t="shared" si="3"/>
        <v>274.707136</v>
      </c>
      <c r="R17" s="8">
        <f t="shared" si="3"/>
        <v>144394.2244</v>
      </c>
      <c r="S17" s="8">
        <f t="shared" si="3"/>
        <v>144394.2244</v>
      </c>
      <c r="T17" s="8">
        <f t="shared" si="3"/>
        <v>3274.707136</v>
      </c>
      <c r="U17" s="8">
        <f t="shared" si="3"/>
        <v>3274.707136</v>
      </c>
      <c r="V17" s="8">
        <f t="shared" si="3"/>
        <v>3274.707136</v>
      </c>
      <c r="W17" s="8">
        <f t="shared" si="3"/>
        <v>3274.707136</v>
      </c>
      <c r="X17" s="8">
        <f t="shared" si="3"/>
        <v>274.707136</v>
      </c>
      <c r="Y17" s="8">
        <f t="shared" si="3"/>
        <v>124862.3071</v>
      </c>
      <c r="Z17" s="8">
        <f t="shared" si="3"/>
        <v>124862.3071</v>
      </c>
      <c r="AA17" s="8">
        <f t="shared" si="3"/>
        <v>127862.3071</v>
      </c>
      <c r="AB17" s="8">
        <f t="shared" si="3"/>
        <v>127876.6907</v>
      </c>
      <c r="AC17" s="8">
        <f t="shared" si="3"/>
        <v>3289.090667</v>
      </c>
      <c r="AD17" s="8">
        <f t="shared" si="3"/>
        <v>3289.090667</v>
      </c>
      <c r="AE17" s="8">
        <f t="shared" si="3"/>
        <v>289.0906667</v>
      </c>
      <c r="AF17" s="8">
        <f t="shared" si="3"/>
        <v>289.0906667</v>
      </c>
      <c r="AG17" s="8">
        <f t="shared" si="3"/>
        <v>289.0906667</v>
      </c>
      <c r="AH17" s="8">
        <f t="shared" si="3"/>
        <v>289.0906667</v>
      </c>
      <c r="AI17" s="8">
        <f t="shared" si="3"/>
        <v>3289.090667</v>
      </c>
      <c r="AJ17" s="8">
        <f t="shared" si="3"/>
        <v>3289.090667</v>
      </c>
      <c r="AK17" s="8">
        <f t="shared" si="3"/>
        <v>3289.090667</v>
      </c>
      <c r="AL17" s="8">
        <f t="shared" si="3"/>
        <v>3289.090667</v>
      </c>
      <c r="AM17" s="8">
        <f t="shared" si="3"/>
        <v>289.0906667</v>
      </c>
      <c r="AN17" s="2"/>
      <c r="AO17" s="2"/>
      <c r="AP17" s="2"/>
      <c r="AQ17" s="2"/>
      <c r="AR17" s="2"/>
      <c r="AS17" s="2"/>
    </row>
    <row r="18" ht="15.75" customHeight="1">
      <c r="A18" s="1"/>
      <c r="B18" s="1"/>
      <c r="C18" s="2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2"/>
      <c r="AO18" s="2"/>
      <c r="AP18" s="2"/>
      <c r="AQ18" s="2"/>
      <c r="AR18" s="2"/>
      <c r="AS18" s="2"/>
    </row>
    <row r="19" ht="15.75" customHeight="1">
      <c r="A19" s="1" t="s">
        <v>24</v>
      </c>
      <c r="B19" s="1"/>
      <c r="C19" s="2"/>
      <c r="D19" s="8">
        <f t="shared" ref="D19:AM19" si="4">D6-D17</f>
        <v>-3000</v>
      </c>
      <c r="E19" s="8">
        <f t="shared" si="4"/>
        <v>-3000</v>
      </c>
      <c r="F19" s="8">
        <f t="shared" si="4"/>
        <v>-3000</v>
      </c>
      <c r="G19" s="8">
        <f t="shared" si="4"/>
        <v>-13750</v>
      </c>
      <c r="H19" s="8">
        <f t="shared" si="4"/>
        <v>-51712.5</v>
      </c>
      <c r="I19" s="8">
        <f t="shared" si="4"/>
        <v>-49221.5</v>
      </c>
      <c r="J19" s="8">
        <f t="shared" si="4"/>
        <v>-13884</v>
      </c>
      <c r="K19" s="8">
        <f t="shared" si="4"/>
        <v>-2894.8</v>
      </c>
      <c r="L19" s="8">
        <f t="shared" si="4"/>
        <v>15223.53333</v>
      </c>
      <c r="M19" s="8">
        <f t="shared" si="4"/>
        <v>52337.21754</v>
      </c>
      <c r="N19" s="8">
        <f t="shared" si="4"/>
        <v>55426.4963</v>
      </c>
      <c r="O19" s="8">
        <f t="shared" si="4"/>
        <v>58220.39608</v>
      </c>
      <c r="P19" s="8">
        <f t="shared" si="4"/>
        <v>56225.29286</v>
      </c>
      <c r="Q19" s="8">
        <f t="shared" si="4"/>
        <v>63191.95953</v>
      </c>
      <c r="R19" s="8">
        <f t="shared" si="4"/>
        <v>-80927.55775</v>
      </c>
      <c r="S19" s="8">
        <f t="shared" si="4"/>
        <v>-80927.55775</v>
      </c>
      <c r="T19" s="8">
        <f t="shared" si="4"/>
        <v>60191.95953</v>
      </c>
      <c r="U19" s="8">
        <f t="shared" si="4"/>
        <v>60191.95953</v>
      </c>
      <c r="V19" s="8">
        <f t="shared" si="4"/>
        <v>60191.95953</v>
      </c>
      <c r="W19" s="8">
        <f t="shared" si="4"/>
        <v>60191.95953</v>
      </c>
      <c r="X19" s="8">
        <f t="shared" si="4"/>
        <v>162747.5151</v>
      </c>
      <c r="Y19" s="8">
        <f t="shared" si="4"/>
        <v>38159.91508</v>
      </c>
      <c r="Z19" s="8">
        <f t="shared" si="4"/>
        <v>38159.91508</v>
      </c>
      <c r="AA19" s="8">
        <f t="shared" si="4"/>
        <v>35159.91508</v>
      </c>
      <c r="AB19" s="8">
        <f t="shared" si="4"/>
        <v>22701.08711</v>
      </c>
      <c r="AC19" s="8">
        <f t="shared" si="4"/>
        <v>147288.6871</v>
      </c>
      <c r="AD19" s="8">
        <f t="shared" si="4"/>
        <v>147288.6871</v>
      </c>
      <c r="AE19" s="8">
        <f t="shared" si="4"/>
        <v>150288.6871</v>
      </c>
      <c r="AF19" s="8">
        <f t="shared" si="4"/>
        <v>150288.6871</v>
      </c>
      <c r="AG19" s="8">
        <f t="shared" si="4"/>
        <v>150288.6871</v>
      </c>
      <c r="AH19" s="8">
        <f t="shared" si="4"/>
        <v>150288.6871</v>
      </c>
      <c r="AI19" s="8">
        <f t="shared" si="4"/>
        <v>147288.6871</v>
      </c>
      <c r="AJ19" s="8">
        <f t="shared" si="4"/>
        <v>197066.4649</v>
      </c>
      <c r="AK19" s="8">
        <f t="shared" si="4"/>
        <v>197066.4649</v>
      </c>
      <c r="AL19" s="8">
        <f t="shared" si="4"/>
        <v>197066.4649</v>
      </c>
      <c r="AM19" s="8">
        <f t="shared" si="4"/>
        <v>200066.4649</v>
      </c>
      <c r="AN19" s="2"/>
      <c r="AO19" s="2"/>
      <c r="AP19" s="2"/>
      <c r="AQ19" s="2"/>
      <c r="AR19" s="2"/>
      <c r="AS19" s="2"/>
    </row>
    <row r="20" ht="15.75" customHeight="1">
      <c r="A20" s="1"/>
      <c r="B20" s="1"/>
      <c r="C20" s="2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2"/>
      <c r="AO20" s="2"/>
      <c r="AP20" s="2"/>
      <c r="AQ20" s="2"/>
      <c r="AR20" s="2"/>
      <c r="AS20" s="2"/>
    </row>
    <row r="21" ht="15.75" customHeight="1">
      <c r="A21" s="1" t="s">
        <v>26</v>
      </c>
      <c r="B21" s="1"/>
      <c r="C21" s="2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2"/>
      <c r="AO21" s="2"/>
      <c r="AP21" s="2"/>
      <c r="AQ21" s="2"/>
      <c r="AR21" s="2"/>
      <c r="AS21" s="2"/>
    </row>
    <row r="22" ht="15.75" customHeight="1">
      <c r="A22" s="1"/>
      <c r="B22" s="1" t="s">
        <v>71</v>
      </c>
      <c r="C22" s="2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2"/>
      <c r="AO22" s="2"/>
      <c r="AP22" s="2"/>
      <c r="AQ22" s="2"/>
      <c r="AR22" s="2"/>
      <c r="AS22" s="2"/>
    </row>
    <row r="23" ht="15.75" customHeight="1">
      <c r="A23" s="1"/>
      <c r="B23" s="1"/>
      <c r="C23" s="2" t="s">
        <v>28</v>
      </c>
      <c r="D23" s="8">
        <v>0.0</v>
      </c>
      <c r="E23" s="8">
        <v>0.0</v>
      </c>
      <c r="F23" s="8">
        <v>0.0</v>
      </c>
      <c r="G23" s="8">
        <v>0.0</v>
      </c>
      <c r="H23" s="8">
        <v>0.0</v>
      </c>
      <c r="I23" s="8">
        <v>0.0</v>
      </c>
      <c r="J23" s="8">
        <v>0.0</v>
      </c>
      <c r="K23" s="8">
        <v>0.0</v>
      </c>
      <c r="L23" s="8">
        <v>0.0</v>
      </c>
      <c r="M23" s="8">
        <v>0.0</v>
      </c>
      <c r="N23" s="8">
        <v>0.0</v>
      </c>
      <c r="O23" s="8">
        <v>0.0</v>
      </c>
      <c r="P23" s="8">
        <f>'Employee Payroll'!$C$10/12</f>
        <v>4583.333333</v>
      </c>
      <c r="Q23" s="8">
        <f>'Employee Payroll'!$C$10/12</f>
        <v>4583.333333</v>
      </c>
      <c r="R23" s="8">
        <f>'Employee Payroll'!$C$10/12</f>
        <v>4583.333333</v>
      </c>
      <c r="S23" s="8">
        <f>'Employee Payroll'!$C$10/12</f>
        <v>4583.333333</v>
      </c>
      <c r="T23" s="8">
        <f>'Employee Payroll'!$C$10/12</f>
        <v>4583.333333</v>
      </c>
      <c r="U23" s="8">
        <f>'Employee Payroll'!$C$10/12</f>
        <v>4583.333333</v>
      </c>
      <c r="V23" s="8">
        <f>'Employee Payroll'!$C$10/12</f>
        <v>4583.333333</v>
      </c>
      <c r="W23" s="8">
        <f>'Employee Payroll'!$C$10/12</f>
        <v>4583.333333</v>
      </c>
      <c r="X23" s="8">
        <f>'Employee Payroll'!$C$10/12</f>
        <v>4583.333333</v>
      </c>
      <c r="Y23" s="8">
        <f>'Employee Payroll'!$C$10/12</f>
        <v>4583.333333</v>
      </c>
      <c r="Z23" s="8">
        <f>'Employee Payroll'!$C$10/12</f>
        <v>4583.333333</v>
      </c>
      <c r="AA23" s="8">
        <f>'Employee Payroll'!$C$10/12</f>
        <v>4583.333333</v>
      </c>
      <c r="AB23" s="8">
        <f>'Employee Payroll'!$D$10/12</f>
        <v>18333.33333</v>
      </c>
      <c r="AC23" s="8">
        <f>'Employee Payroll'!$D$10/12</f>
        <v>18333.33333</v>
      </c>
      <c r="AD23" s="8">
        <f>'Employee Payroll'!$D$10/12</f>
        <v>18333.33333</v>
      </c>
      <c r="AE23" s="8">
        <f>'Employee Payroll'!$D$10/12</f>
        <v>18333.33333</v>
      </c>
      <c r="AF23" s="8">
        <f>'Employee Payroll'!$D$10/12</f>
        <v>18333.33333</v>
      </c>
      <c r="AG23" s="8">
        <f>'Employee Payroll'!$D$10/12</f>
        <v>18333.33333</v>
      </c>
      <c r="AH23" s="8">
        <f>'Employee Payroll'!$D$10/12</f>
        <v>18333.33333</v>
      </c>
      <c r="AI23" s="8">
        <f>'Employee Payroll'!$D$10/12</f>
        <v>18333.33333</v>
      </c>
      <c r="AJ23" s="8">
        <f>'Employee Payroll'!$D$10/12</f>
        <v>18333.33333</v>
      </c>
      <c r="AK23" s="8">
        <f>'Employee Payroll'!$D$10/12</f>
        <v>18333.33333</v>
      </c>
      <c r="AL23" s="8">
        <f>'Employee Payroll'!$D$10/12</f>
        <v>18333.33333</v>
      </c>
      <c r="AM23" s="8">
        <f>'Employee Payroll'!$D$10/12</f>
        <v>18333.33333</v>
      </c>
      <c r="AN23" s="2"/>
      <c r="AO23" s="2"/>
      <c r="AP23" s="2"/>
      <c r="AQ23" s="2"/>
      <c r="AR23" s="2"/>
      <c r="AS23" s="2"/>
    </row>
    <row r="24" ht="15.75" customHeight="1">
      <c r="A24" s="1"/>
      <c r="B24" s="1"/>
      <c r="C24" s="2" t="s">
        <v>29</v>
      </c>
      <c r="D24" s="8">
        <f t="shared" ref="D24:AM24" si="5">(83/12)*0.7</f>
        <v>4.841666667</v>
      </c>
      <c r="E24" s="8">
        <f t="shared" si="5"/>
        <v>4.841666667</v>
      </c>
      <c r="F24" s="8">
        <f t="shared" si="5"/>
        <v>4.841666667</v>
      </c>
      <c r="G24" s="8">
        <f t="shared" si="5"/>
        <v>4.841666667</v>
      </c>
      <c r="H24" s="8">
        <f t="shared" si="5"/>
        <v>4.841666667</v>
      </c>
      <c r="I24" s="8">
        <f t="shared" si="5"/>
        <v>4.841666667</v>
      </c>
      <c r="J24" s="8">
        <f t="shared" si="5"/>
        <v>4.841666667</v>
      </c>
      <c r="K24" s="8">
        <f t="shared" si="5"/>
        <v>4.841666667</v>
      </c>
      <c r="L24" s="8">
        <f t="shared" si="5"/>
        <v>4.841666667</v>
      </c>
      <c r="M24" s="8">
        <f t="shared" si="5"/>
        <v>4.841666667</v>
      </c>
      <c r="N24" s="8">
        <f t="shared" si="5"/>
        <v>4.841666667</v>
      </c>
      <c r="O24" s="8">
        <f t="shared" si="5"/>
        <v>4.841666667</v>
      </c>
      <c r="P24" s="8">
        <f t="shared" si="5"/>
        <v>4.841666667</v>
      </c>
      <c r="Q24" s="8">
        <f t="shared" si="5"/>
        <v>4.841666667</v>
      </c>
      <c r="R24" s="8">
        <f t="shared" si="5"/>
        <v>4.841666667</v>
      </c>
      <c r="S24" s="8">
        <f t="shared" si="5"/>
        <v>4.841666667</v>
      </c>
      <c r="T24" s="8">
        <f t="shared" si="5"/>
        <v>4.841666667</v>
      </c>
      <c r="U24" s="8">
        <f t="shared" si="5"/>
        <v>4.841666667</v>
      </c>
      <c r="V24" s="8">
        <f t="shared" si="5"/>
        <v>4.841666667</v>
      </c>
      <c r="W24" s="8">
        <f t="shared" si="5"/>
        <v>4.841666667</v>
      </c>
      <c r="X24" s="8">
        <f t="shared" si="5"/>
        <v>4.841666667</v>
      </c>
      <c r="Y24" s="8">
        <f t="shared" si="5"/>
        <v>4.841666667</v>
      </c>
      <c r="Z24" s="8">
        <f t="shared" si="5"/>
        <v>4.841666667</v>
      </c>
      <c r="AA24" s="8">
        <f t="shared" si="5"/>
        <v>4.841666667</v>
      </c>
      <c r="AB24" s="8">
        <f t="shared" si="5"/>
        <v>4.841666667</v>
      </c>
      <c r="AC24" s="8">
        <f t="shared" si="5"/>
        <v>4.841666667</v>
      </c>
      <c r="AD24" s="8">
        <f t="shared" si="5"/>
        <v>4.841666667</v>
      </c>
      <c r="AE24" s="8">
        <f t="shared" si="5"/>
        <v>4.841666667</v>
      </c>
      <c r="AF24" s="8">
        <f t="shared" si="5"/>
        <v>4.841666667</v>
      </c>
      <c r="AG24" s="8">
        <f t="shared" si="5"/>
        <v>4.841666667</v>
      </c>
      <c r="AH24" s="8">
        <f t="shared" si="5"/>
        <v>4.841666667</v>
      </c>
      <c r="AI24" s="8">
        <f t="shared" si="5"/>
        <v>4.841666667</v>
      </c>
      <c r="AJ24" s="8">
        <f t="shared" si="5"/>
        <v>4.841666667</v>
      </c>
      <c r="AK24" s="8">
        <f t="shared" si="5"/>
        <v>4.841666667</v>
      </c>
      <c r="AL24" s="8">
        <f t="shared" si="5"/>
        <v>4.841666667</v>
      </c>
      <c r="AM24" s="8">
        <f t="shared" si="5"/>
        <v>4.841666667</v>
      </c>
      <c r="AN24" s="2"/>
      <c r="AO24" s="2"/>
      <c r="AP24" s="2"/>
      <c r="AQ24" s="2"/>
      <c r="AR24" s="2"/>
      <c r="AS24" s="2"/>
    </row>
    <row r="25" ht="15.75" customHeight="1">
      <c r="A25" s="1"/>
      <c r="B25" s="1"/>
      <c r="C25" s="2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2"/>
      <c r="AO25" s="2"/>
      <c r="AP25" s="2"/>
      <c r="AQ25" s="2"/>
      <c r="AR25" s="2"/>
      <c r="AS25" s="2"/>
    </row>
    <row r="26" ht="15.75" customHeight="1">
      <c r="A26" s="1"/>
      <c r="B26" s="1" t="s">
        <v>31</v>
      </c>
      <c r="C26" s="2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2"/>
      <c r="AO26" s="2"/>
      <c r="AP26" s="2"/>
      <c r="AQ26" s="2"/>
      <c r="AR26" s="2"/>
      <c r="AS26" s="2"/>
    </row>
    <row r="27" ht="15.75" customHeight="1">
      <c r="A27" s="1"/>
      <c r="B27" s="1"/>
      <c r="C27" s="2" t="s">
        <v>28</v>
      </c>
      <c r="D27" s="8">
        <v>0.0</v>
      </c>
      <c r="E27" s="8">
        <v>0.0</v>
      </c>
      <c r="F27" s="8">
        <v>0.0</v>
      </c>
      <c r="G27" s="8">
        <v>0.0</v>
      </c>
      <c r="H27" s="8">
        <v>0.0</v>
      </c>
      <c r="I27" s="8">
        <v>0.0</v>
      </c>
      <c r="J27" s="8">
        <v>0.0</v>
      </c>
      <c r="K27" s="8">
        <v>0.0</v>
      </c>
      <c r="L27" s="8">
        <v>0.0</v>
      </c>
      <c r="M27" s="8">
        <v>0.0</v>
      </c>
      <c r="N27" s="8">
        <f>('Employee Payroll'!$B$24/12)*0.7</f>
        <v>4083.333333</v>
      </c>
      <c r="O27" s="8">
        <f>('Employee Payroll'!$B$24/12)*0.7</f>
        <v>4083.333333</v>
      </c>
      <c r="P27" s="8">
        <f>('Employee Payroll'!$C$24/12)*0.7</f>
        <v>10791.66667</v>
      </c>
      <c r="Q27" s="8">
        <f>('Employee Payroll'!$C$24/12)*0.7</f>
        <v>10791.66667</v>
      </c>
      <c r="R27" s="8">
        <f>('Employee Payroll'!$C$24/12)*0.7</f>
        <v>10791.66667</v>
      </c>
      <c r="S27" s="8">
        <f>('Employee Payroll'!$C$24/12)*0.7</f>
        <v>10791.66667</v>
      </c>
      <c r="T27" s="8">
        <f>('Employee Payroll'!$C$24/12)*0.7</f>
        <v>10791.66667</v>
      </c>
      <c r="U27" s="8">
        <f>('Employee Payroll'!$C$24/12)*0.7</f>
        <v>10791.66667</v>
      </c>
      <c r="V27" s="8">
        <f>('Employee Payroll'!$C$24/12)*0.7</f>
        <v>10791.66667</v>
      </c>
      <c r="W27" s="8">
        <f>('Employee Payroll'!$C$24/12)*0.7</f>
        <v>10791.66667</v>
      </c>
      <c r="X27" s="8">
        <f>('Employee Payroll'!$C$24/12)*0.7</f>
        <v>10791.66667</v>
      </c>
      <c r="Y27" s="8">
        <f>('Employee Payroll'!$C$24/12)*0.7</f>
        <v>10791.66667</v>
      </c>
      <c r="Z27" s="8">
        <f>('Employee Payroll'!$C$24/12)*0.7</f>
        <v>10791.66667</v>
      </c>
      <c r="AA27" s="8">
        <f>('Employee Payroll'!$C$24/12)*0.7</f>
        <v>10791.66667</v>
      </c>
      <c r="AB27" s="8">
        <f>('Employee Payroll'!$D$24/12)*0.7</f>
        <v>13416.66667</v>
      </c>
      <c r="AC27" s="8">
        <f>('Employee Payroll'!$D$24/12)*0.7</f>
        <v>13416.66667</v>
      </c>
      <c r="AD27" s="8">
        <f>('Employee Payroll'!$D$24/12)*0.7</f>
        <v>13416.66667</v>
      </c>
      <c r="AE27" s="8">
        <f>('Employee Payroll'!$D$24/12)*0.7</f>
        <v>13416.66667</v>
      </c>
      <c r="AF27" s="8">
        <f>('Employee Payroll'!$D$24/12)*0.7</f>
        <v>13416.66667</v>
      </c>
      <c r="AG27" s="8">
        <f>('Employee Payroll'!$D$24/12)*0.7</f>
        <v>13416.66667</v>
      </c>
      <c r="AH27" s="8">
        <f>('Employee Payroll'!$D$24/12)*0.7</f>
        <v>13416.66667</v>
      </c>
      <c r="AI27" s="8">
        <f>('Employee Payroll'!$D$24/12)*0.7</f>
        <v>13416.66667</v>
      </c>
      <c r="AJ27" s="8">
        <f>('Employee Payroll'!$D$24/12)*0.7</f>
        <v>13416.66667</v>
      </c>
      <c r="AK27" s="8">
        <f>('Employee Payroll'!$D$24/12)*0.7</f>
        <v>13416.66667</v>
      </c>
      <c r="AL27" s="8">
        <f>('Employee Payroll'!$D$24/12)*0.7</f>
        <v>13416.66667</v>
      </c>
      <c r="AM27" s="8">
        <f>('Employee Payroll'!$D$24/12)*0.7</f>
        <v>13416.66667</v>
      </c>
      <c r="AN27" s="2"/>
      <c r="AO27" s="2"/>
      <c r="AP27" s="2"/>
      <c r="AQ27" s="2"/>
      <c r="AR27" s="2"/>
      <c r="AS27" s="2"/>
    </row>
    <row r="28" ht="15.75" customHeight="1">
      <c r="A28" s="1"/>
      <c r="B28" s="1"/>
      <c r="C28" s="2" t="s">
        <v>53</v>
      </c>
      <c r="D28" s="8">
        <v>0.0</v>
      </c>
      <c r="E28" s="8">
        <v>0.0</v>
      </c>
      <c r="F28" s="8">
        <v>0.0</v>
      </c>
      <c r="G28" s="8">
        <v>0.0</v>
      </c>
      <c r="H28" s="8">
        <v>0.0</v>
      </c>
      <c r="I28" s="8">
        <v>0.0</v>
      </c>
      <c r="J28" s="8">
        <v>0.0</v>
      </c>
      <c r="K28" s="8">
        <v>0.0</v>
      </c>
      <c r="L28" s="8">
        <v>0.0</v>
      </c>
      <c r="M28" s="8">
        <v>0.0</v>
      </c>
      <c r="N28" s="8">
        <v>0.0</v>
      </c>
      <c r="O28" s="8">
        <v>0.0</v>
      </c>
      <c r="P28" s="8">
        <v>0.0</v>
      </c>
      <c r="Q28" s="8">
        <v>0.0</v>
      </c>
      <c r="R28" s="8">
        <v>0.0</v>
      </c>
      <c r="S28" s="8">
        <v>0.0</v>
      </c>
      <c r="T28" s="8">
        <v>0.0</v>
      </c>
      <c r="U28" s="8">
        <v>0.0</v>
      </c>
      <c r="V28" s="8">
        <v>0.0</v>
      </c>
      <c r="W28" s="8">
        <v>0.0</v>
      </c>
      <c r="X28" s="8">
        <v>0.0</v>
      </c>
      <c r="Y28" s="8">
        <v>0.0</v>
      </c>
      <c r="Z28" s="8">
        <v>0.0</v>
      </c>
      <c r="AA28" s="8">
        <v>0.0</v>
      </c>
      <c r="AB28" s="8">
        <v>0.0</v>
      </c>
      <c r="AC28" s="8">
        <v>0.0</v>
      </c>
      <c r="AD28" s="8">
        <v>0.0</v>
      </c>
      <c r="AE28" s="8">
        <v>0.0</v>
      </c>
      <c r="AF28" s="8">
        <v>0.0</v>
      </c>
      <c r="AG28" s="8">
        <v>0.0</v>
      </c>
      <c r="AH28" s="8">
        <v>0.0</v>
      </c>
      <c r="AI28" s="8">
        <v>0.0</v>
      </c>
      <c r="AJ28" s="8">
        <v>0.0</v>
      </c>
      <c r="AK28" s="8">
        <v>0.0</v>
      </c>
      <c r="AL28" s="8">
        <v>0.0</v>
      </c>
      <c r="AM28" s="8">
        <v>0.0</v>
      </c>
      <c r="AN28" s="2"/>
      <c r="AO28" s="2"/>
      <c r="AP28" s="2"/>
      <c r="AQ28" s="2"/>
      <c r="AR28" s="2"/>
      <c r="AS28" s="2"/>
    </row>
    <row r="29" ht="15.75" customHeight="1">
      <c r="A29" s="1"/>
      <c r="B29" s="1"/>
      <c r="C29" s="2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2"/>
      <c r="AO29" s="2"/>
      <c r="AP29" s="2"/>
      <c r="AQ29" s="2"/>
      <c r="AR29" s="2"/>
      <c r="AS29" s="2"/>
    </row>
    <row r="30" ht="15.75" customHeight="1">
      <c r="A30" s="1"/>
      <c r="B30" s="1" t="s">
        <v>32</v>
      </c>
      <c r="C30" s="2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2"/>
      <c r="AO30" s="2"/>
      <c r="AP30" s="2"/>
      <c r="AQ30" s="2"/>
      <c r="AR30" s="2"/>
      <c r="AS30" s="2"/>
    </row>
    <row r="31" ht="15.75" customHeight="1">
      <c r="A31" s="1"/>
      <c r="B31" s="1"/>
      <c r="C31" s="2" t="s">
        <v>28</v>
      </c>
      <c r="D31" s="8">
        <v>0.0</v>
      </c>
      <c r="E31" s="8">
        <v>0.0</v>
      </c>
      <c r="F31" s="8">
        <v>0.0</v>
      </c>
      <c r="G31" s="8">
        <v>0.0</v>
      </c>
      <c r="H31" s="8">
        <v>0.0</v>
      </c>
      <c r="I31" s="8">
        <v>0.0</v>
      </c>
      <c r="J31" s="8">
        <v>0.0</v>
      </c>
      <c r="K31" s="8">
        <f>'Employee Payroll'!$B$29/12*0.7</f>
        <v>0</v>
      </c>
      <c r="L31" s="8">
        <f>'Employee Payroll'!$B$29/12*0.7</f>
        <v>0</v>
      </c>
      <c r="M31" s="8">
        <f>'Employee Payroll'!$B$29/12*0.7</f>
        <v>0</v>
      </c>
      <c r="N31" s="8">
        <f>'Employee Payroll'!$B$29/12*0.7</f>
        <v>0</v>
      </c>
      <c r="O31" s="8">
        <f>'Employee Payroll'!$B$29/12*0.7</f>
        <v>0</v>
      </c>
      <c r="P31" s="8">
        <f>'Employee Payroll'!$C$30/12*0.7</f>
        <v>2916.666667</v>
      </c>
      <c r="Q31" s="8">
        <f>'Employee Payroll'!$C$30/12*0.7</f>
        <v>2916.666667</v>
      </c>
      <c r="R31" s="8">
        <f>'Employee Payroll'!$C$30/12*0.7</f>
        <v>2916.666667</v>
      </c>
      <c r="S31" s="8">
        <f>'Employee Payroll'!$C$30/12*0.7</f>
        <v>2916.666667</v>
      </c>
      <c r="T31" s="8">
        <f>'Employee Payroll'!$C$30/12*0.7</f>
        <v>2916.666667</v>
      </c>
      <c r="U31" s="8">
        <f>'Employee Payroll'!$C$30/12*0.7</f>
        <v>2916.666667</v>
      </c>
      <c r="V31" s="8">
        <f>'Employee Payroll'!$C$30/12*0.7</f>
        <v>2916.666667</v>
      </c>
      <c r="W31" s="8">
        <f>'Employee Payroll'!$C$30/12*0.7</f>
        <v>2916.666667</v>
      </c>
      <c r="X31" s="8">
        <f>'Employee Payroll'!$C$30/12*0.7</f>
        <v>2916.666667</v>
      </c>
      <c r="Y31" s="8">
        <f>'Employee Payroll'!$C$30/12*0.7</f>
        <v>2916.666667</v>
      </c>
      <c r="Z31" s="8">
        <f>'Employee Payroll'!$C$30/12*0.7</f>
        <v>2916.666667</v>
      </c>
      <c r="AA31" s="8">
        <f>'Employee Payroll'!$C$30/12*0.7</f>
        <v>2916.666667</v>
      </c>
      <c r="AB31" s="8">
        <f>'Employee Payroll'!$D$30/12*0.7</f>
        <v>8750</v>
      </c>
      <c r="AC31" s="8">
        <f>'Employee Payroll'!$D$30/12*0.7</f>
        <v>8750</v>
      </c>
      <c r="AD31" s="8">
        <f>'Employee Payroll'!$D$30/12*0.7</f>
        <v>8750</v>
      </c>
      <c r="AE31" s="8">
        <f>'Employee Payroll'!$D$30/12*0.7</f>
        <v>8750</v>
      </c>
      <c r="AF31" s="8">
        <f>'Employee Payroll'!$D$30/12*0.7</f>
        <v>8750</v>
      </c>
      <c r="AG31" s="8">
        <f>'Employee Payroll'!$D$30/12*0.7</f>
        <v>8750</v>
      </c>
      <c r="AH31" s="8">
        <f>'Employee Payroll'!$D$30/12*0.7</f>
        <v>8750</v>
      </c>
      <c r="AI31" s="8">
        <f>'Employee Payroll'!$D$30/12*0.7</f>
        <v>8750</v>
      </c>
      <c r="AJ31" s="8">
        <f>'Employee Payroll'!$D$30/12*0.7</f>
        <v>8750</v>
      </c>
      <c r="AK31" s="8">
        <f>'Employee Payroll'!$D$30/12*0.7</f>
        <v>8750</v>
      </c>
      <c r="AL31" s="8">
        <f>'Employee Payroll'!$D$30/12*0.7</f>
        <v>8750</v>
      </c>
      <c r="AM31" s="8">
        <f>'Employee Payroll'!$D$30/12*0.7</f>
        <v>8750</v>
      </c>
      <c r="AN31" s="2"/>
      <c r="AO31" s="2"/>
      <c r="AP31" s="2"/>
      <c r="AQ31" s="2"/>
      <c r="AR31" s="2"/>
      <c r="AS31" s="2"/>
    </row>
    <row r="32" ht="15.75" customHeight="1">
      <c r="A32" s="1"/>
      <c r="B32" s="1"/>
      <c r="C32" s="2" t="s">
        <v>73</v>
      </c>
      <c r="D32" s="8">
        <v>500.0</v>
      </c>
      <c r="E32" s="8">
        <v>750.0</v>
      </c>
      <c r="F32" s="8">
        <v>750.0</v>
      </c>
      <c r="G32" s="8">
        <v>500.0</v>
      </c>
      <c r="H32" s="8">
        <v>500.0</v>
      </c>
      <c r="I32" s="8">
        <v>1000.0</v>
      </c>
      <c r="J32" s="8">
        <f t="shared" ref="J32:N32" si="6">1000*0.7</f>
        <v>700</v>
      </c>
      <c r="K32" s="8">
        <f t="shared" si="6"/>
        <v>700</v>
      </c>
      <c r="L32" s="8">
        <f t="shared" si="6"/>
        <v>700</v>
      </c>
      <c r="M32" s="8">
        <f t="shared" si="6"/>
        <v>700</v>
      </c>
      <c r="N32" s="8">
        <f t="shared" si="6"/>
        <v>700</v>
      </c>
      <c r="O32" s="8">
        <f t="shared" ref="O32:AM32" si="7">1500*0.7</f>
        <v>1050</v>
      </c>
      <c r="P32" s="8">
        <f t="shared" si="7"/>
        <v>1050</v>
      </c>
      <c r="Q32" s="8">
        <f t="shared" si="7"/>
        <v>1050</v>
      </c>
      <c r="R32" s="8">
        <f t="shared" si="7"/>
        <v>1050</v>
      </c>
      <c r="S32" s="8">
        <f t="shared" si="7"/>
        <v>1050</v>
      </c>
      <c r="T32" s="8">
        <f t="shared" si="7"/>
        <v>1050</v>
      </c>
      <c r="U32" s="8">
        <f t="shared" si="7"/>
        <v>1050</v>
      </c>
      <c r="V32" s="8">
        <f t="shared" si="7"/>
        <v>1050</v>
      </c>
      <c r="W32" s="8">
        <f t="shared" si="7"/>
        <v>1050</v>
      </c>
      <c r="X32" s="8">
        <f t="shared" si="7"/>
        <v>1050</v>
      </c>
      <c r="Y32" s="8">
        <f t="shared" si="7"/>
        <v>1050</v>
      </c>
      <c r="Z32" s="8">
        <f t="shared" si="7"/>
        <v>1050</v>
      </c>
      <c r="AA32" s="8">
        <f t="shared" si="7"/>
        <v>1050</v>
      </c>
      <c r="AB32" s="8">
        <f t="shared" si="7"/>
        <v>1050</v>
      </c>
      <c r="AC32" s="8">
        <f t="shared" si="7"/>
        <v>1050</v>
      </c>
      <c r="AD32" s="8">
        <f t="shared" si="7"/>
        <v>1050</v>
      </c>
      <c r="AE32" s="8">
        <f t="shared" si="7"/>
        <v>1050</v>
      </c>
      <c r="AF32" s="8">
        <f t="shared" si="7"/>
        <v>1050</v>
      </c>
      <c r="AG32" s="8">
        <f t="shared" si="7"/>
        <v>1050</v>
      </c>
      <c r="AH32" s="8">
        <f t="shared" si="7"/>
        <v>1050</v>
      </c>
      <c r="AI32" s="8">
        <f t="shared" si="7"/>
        <v>1050</v>
      </c>
      <c r="AJ32" s="8">
        <f t="shared" si="7"/>
        <v>1050</v>
      </c>
      <c r="AK32" s="8">
        <f t="shared" si="7"/>
        <v>1050</v>
      </c>
      <c r="AL32" s="8">
        <f t="shared" si="7"/>
        <v>1050</v>
      </c>
      <c r="AM32" s="8">
        <f t="shared" si="7"/>
        <v>1050</v>
      </c>
      <c r="AN32" s="2"/>
      <c r="AO32" s="2"/>
      <c r="AP32" s="2"/>
      <c r="AQ32" s="2"/>
      <c r="AR32" s="2"/>
      <c r="AS32" s="2"/>
    </row>
    <row r="33" ht="15.75" customHeight="1">
      <c r="A33" s="1"/>
      <c r="B33" s="1"/>
      <c r="C33" s="2" t="s">
        <v>74</v>
      </c>
      <c r="D33" s="8">
        <v>0.0</v>
      </c>
      <c r="E33" s="8">
        <v>0.0</v>
      </c>
      <c r="F33" s="8">
        <v>0.0</v>
      </c>
      <c r="G33" s="8">
        <v>0.0</v>
      </c>
      <c r="H33" s="8">
        <v>0.0</v>
      </c>
      <c r="I33" s="8">
        <v>0.0</v>
      </c>
      <c r="J33" s="33">
        <v>0.0</v>
      </c>
      <c r="K33" s="8">
        <f>SUM('Monthly Budget'!$D$21:$D$24)</f>
        <v>18500</v>
      </c>
      <c r="L33" s="8">
        <f>SUM('Monthly Budget'!$D$21:$D$24)</f>
        <v>18500</v>
      </c>
      <c r="M33" s="8">
        <f>SUM('Monthly Budget'!$D$21:$D$24)</f>
        <v>18500</v>
      </c>
      <c r="N33" s="8">
        <f>SUM('Monthly Budget'!$D$21:$D$24)</f>
        <v>18500</v>
      </c>
      <c r="O33" s="8">
        <f>SUM('Monthly Budget'!$D$21:$D$24)</f>
        <v>18500</v>
      </c>
      <c r="P33" s="8">
        <f>SUM('Monthly Budget'!$D$21:$D$24)</f>
        <v>18500</v>
      </c>
      <c r="Q33" s="8">
        <f>SUM('Monthly Budget'!$D$21:$D$24)</f>
        <v>18500</v>
      </c>
      <c r="R33" s="8">
        <f>SUM('Monthly Budget'!$D$21:$D$24)</f>
        <v>18500</v>
      </c>
      <c r="S33" s="8">
        <f>SUM('Monthly Budget'!$D$21:$D$24)</f>
        <v>18500</v>
      </c>
      <c r="T33" s="8">
        <f>SUM('Monthly Budget'!$D$21:$D$24)</f>
        <v>18500</v>
      </c>
      <c r="U33" s="8">
        <f>SUM('Monthly Budget'!$D$21:$D$24)</f>
        <v>18500</v>
      </c>
      <c r="V33" s="8">
        <f>SUM('Monthly Budget'!$D$21:$D$24)</f>
        <v>18500</v>
      </c>
      <c r="W33" s="8">
        <f>SUM('Monthly Budget'!$D$21:$D$24)</f>
        <v>18500</v>
      </c>
      <c r="X33" s="8">
        <f>SUM('Monthly Budget'!$D$21:$D$24)</f>
        <v>18500</v>
      </c>
      <c r="Y33" s="8">
        <f>SUM('Monthly Budget'!$D$21:$D$24)</f>
        <v>18500</v>
      </c>
      <c r="Z33" s="8">
        <f>SUM('Monthly Budget'!$D$21:$D$24)</f>
        <v>18500</v>
      </c>
      <c r="AA33" s="8">
        <f>SUM('Monthly Budget'!$D$21:$D$24)</f>
        <v>18500</v>
      </c>
      <c r="AB33" s="8">
        <f>SUM('Monthly Budget'!$D$21:$D$24)</f>
        <v>18500</v>
      </c>
      <c r="AC33" s="8">
        <f>SUM('Monthly Budget'!$D$21:$D$24)</f>
        <v>18500</v>
      </c>
      <c r="AD33" s="8">
        <f>SUM('Monthly Budget'!$D$21:$D$24)</f>
        <v>18500</v>
      </c>
      <c r="AE33" s="8">
        <f>SUM('Monthly Budget'!$D$21:$D$24)</f>
        <v>18500</v>
      </c>
      <c r="AF33" s="8">
        <f>SUM('Monthly Budget'!$D$21:$D$24)</f>
        <v>18500</v>
      </c>
      <c r="AG33" s="8">
        <f>SUM('Monthly Budget'!$D$21:$D$24)</f>
        <v>18500</v>
      </c>
      <c r="AH33" s="8">
        <f>SUM('Monthly Budget'!$D$21:$D$24)</f>
        <v>18500</v>
      </c>
      <c r="AI33" s="8">
        <f>SUM('Monthly Budget'!$D$21:$D$24)</f>
        <v>18500</v>
      </c>
      <c r="AJ33" s="8">
        <f>SUM('Monthly Budget'!$D$21:$D$24)</f>
        <v>18500</v>
      </c>
      <c r="AK33" s="8">
        <f>SUM('Monthly Budget'!$D$21:$D$24)</f>
        <v>18500</v>
      </c>
      <c r="AL33" s="8">
        <f>SUM('Monthly Budget'!$D$21:$D$24)</f>
        <v>18500</v>
      </c>
      <c r="AM33" s="8">
        <f>SUM('Monthly Budget'!$D$21:$D$24)</f>
        <v>18500</v>
      </c>
      <c r="AN33" s="2"/>
      <c r="AO33" s="2"/>
      <c r="AP33" s="2"/>
      <c r="AQ33" s="2"/>
      <c r="AR33" s="2"/>
      <c r="AS33" s="2"/>
    </row>
    <row r="34" ht="15.75" customHeight="1">
      <c r="A34" s="1"/>
      <c r="B34" s="1"/>
      <c r="C34" s="2" t="s">
        <v>75</v>
      </c>
      <c r="D34" s="8">
        <v>0.0</v>
      </c>
      <c r="E34" s="8">
        <v>0.0</v>
      </c>
      <c r="F34" s="8">
        <v>0.0</v>
      </c>
      <c r="G34" s="8">
        <v>0.0</v>
      </c>
      <c r="H34" s="8">
        <v>0.0</v>
      </c>
      <c r="I34" s="8">
        <v>0.0</v>
      </c>
      <c r="J34" s="33">
        <v>0.0</v>
      </c>
      <c r="K34" s="33">
        <v>0.0</v>
      </c>
      <c r="L34" s="8">
        <f>'BLENDED 3 Year Monthly Projecti'!L38*0.7</f>
        <v>9683.333333</v>
      </c>
      <c r="M34" s="8">
        <f>'BLENDED 3 Year Monthly Projecti'!M38*0.7</f>
        <v>33016.66667</v>
      </c>
      <c r="N34" s="8">
        <f>'BLENDED 3 Year Monthly Projecti'!N38*0.7</f>
        <v>33016.66667</v>
      </c>
      <c r="O34" s="8">
        <f>'BLENDED 3 Year Monthly Projecti'!O38*0.7</f>
        <v>32666.66667</v>
      </c>
      <c r="P34" s="8">
        <f>'BLENDED 3 Year Monthly Projecti'!P38*0.7</f>
        <v>29750</v>
      </c>
      <c r="Q34" s="8">
        <f>'BLENDED 3 Year Monthly Projecti'!Q38*0.7</f>
        <v>29750</v>
      </c>
      <c r="R34" s="8">
        <f>'BLENDED 3 Year Monthly Projecti'!R38*0.7</f>
        <v>29750</v>
      </c>
      <c r="S34" s="8">
        <f>'BLENDED 3 Year Monthly Projecti'!S38*0.7</f>
        <v>29750</v>
      </c>
      <c r="T34" s="8">
        <f>'BLENDED 3 Year Monthly Projecti'!T38*0.7</f>
        <v>29750</v>
      </c>
      <c r="U34" s="8">
        <f>'BLENDED 3 Year Monthly Projecti'!U38*0.7</f>
        <v>29750</v>
      </c>
      <c r="V34" s="8">
        <f>'BLENDED 3 Year Monthly Projecti'!V38*0.7</f>
        <v>29750</v>
      </c>
      <c r="W34" s="8">
        <f>'BLENDED 3 Year Monthly Projecti'!W38*0.7</f>
        <v>29750</v>
      </c>
      <c r="X34" s="8">
        <f>'BLENDED 3 Year Monthly Projecti'!X38*0.7</f>
        <v>76416.66667</v>
      </c>
      <c r="Y34" s="8">
        <f>'BLENDED 3 Year Monthly Projecti'!Y38*0.7</f>
        <v>76416.66667</v>
      </c>
      <c r="Z34" s="8">
        <f>'BLENDED 3 Year Monthly Projecti'!Z38*0.7</f>
        <v>76416.66667</v>
      </c>
      <c r="AA34" s="8">
        <f>'BLENDED 3 Year Monthly Projecti'!AA38*0.7</f>
        <v>76416.66667</v>
      </c>
      <c r="AB34" s="8">
        <f>'BLENDED 3 Year Monthly Projecti'!AB38*0.7</f>
        <v>70583.33333</v>
      </c>
      <c r="AC34" s="8">
        <f>'BLENDED 3 Year Monthly Projecti'!AC38*0.7</f>
        <v>70583.33333</v>
      </c>
      <c r="AD34" s="8">
        <f>'BLENDED 3 Year Monthly Projecti'!AD38*0.7</f>
        <v>70583.33333</v>
      </c>
      <c r="AE34" s="8">
        <f>'BLENDED 3 Year Monthly Projecti'!AE38*0.7</f>
        <v>70583.33333</v>
      </c>
      <c r="AF34" s="8">
        <f>'BLENDED 3 Year Monthly Projecti'!AF38*0.7</f>
        <v>70583.33333</v>
      </c>
      <c r="AG34" s="8">
        <f>'BLENDED 3 Year Monthly Projecti'!AG38*0.7</f>
        <v>70583.33333</v>
      </c>
      <c r="AH34" s="8">
        <f>'BLENDED 3 Year Monthly Projecti'!AH38*0.7</f>
        <v>70583.33333</v>
      </c>
      <c r="AI34" s="8">
        <f>'BLENDED 3 Year Monthly Projecti'!AI38*0.7</f>
        <v>70583.33333</v>
      </c>
      <c r="AJ34" s="8">
        <f>'BLENDED 3 Year Monthly Projecti'!AJ38*0.7</f>
        <v>93916.66667</v>
      </c>
      <c r="AK34" s="8">
        <f>'BLENDED 3 Year Monthly Projecti'!AK38*0.7</f>
        <v>93916.66667</v>
      </c>
      <c r="AL34" s="8">
        <f>'BLENDED 3 Year Monthly Projecti'!AL38*0.7</f>
        <v>93916.66667</v>
      </c>
      <c r="AM34" s="8">
        <f>'BLENDED 3 Year Monthly Projecti'!AM38*0.7</f>
        <v>93916.66667</v>
      </c>
      <c r="AN34" s="2"/>
      <c r="AO34" s="2"/>
      <c r="AP34" s="2"/>
      <c r="AQ34" s="2"/>
      <c r="AR34" s="2"/>
      <c r="AS34" s="2"/>
    </row>
    <row r="35" ht="15.75" customHeight="1">
      <c r="A35" s="1"/>
      <c r="B35" s="1"/>
      <c r="C35" s="2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2"/>
      <c r="AO35" s="2"/>
      <c r="AP35" s="2"/>
      <c r="AQ35" s="2"/>
      <c r="AR35" s="2"/>
      <c r="AS35" s="2"/>
    </row>
    <row r="36" ht="15.75" customHeight="1">
      <c r="A36" s="1"/>
      <c r="B36" s="9" t="s">
        <v>36</v>
      </c>
      <c r="C36" s="2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2"/>
      <c r="AO36" s="2"/>
      <c r="AP36" s="2"/>
      <c r="AQ36" s="2"/>
      <c r="AR36" s="2"/>
      <c r="AS36" s="2"/>
    </row>
    <row r="37" ht="15.75" customHeight="1">
      <c r="A37" s="1"/>
      <c r="B37" s="1"/>
      <c r="C37" s="2" t="s">
        <v>28</v>
      </c>
      <c r="D37" s="8">
        <v>0.0</v>
      </c>
      <c r="E37" s="8">
        <v>0.0</v>
      </c>
      <c r="F37" s="8">
        <v>0.0</v>
      </c>
      <c r="G37" s="8">
        <v>0.0</v>
      </c>
      <c r="H37" s="8">
        <v>0.0</v>
      </c>
      <c r="I37" s="8">
        <v>0.0</v>
      </c>
      <c r="J37" s="8">
        <f>('Employee Payroll'!$B$35/12)*0.7</f>
        <v>2916.666667</v>
      </c>
      <c r="K37" s="8">
        <f>('Employee Payroll'!$B$35/12)*0.7</f>
        <v>2916.666667</v>
      </c>
      <c r="L37" s="8">
        <f>('Employee Payroll'!$B$35/12)*0.7</f>
        <v>2916.666667</v>
      </c>
      <c r="M37" s="8">
        <f>('Employee Payroll'!$B$35/12)*0.7</f>
        <v>2916.666667</v>
      </c>
      <c r="N37" s="8">
        <f>('Employee Payroll'!$B$35/12)*0.7</f>
        <v>2916.666667</v>
      </c>
      <c r="O37" s="8">
        <f>('Employee Payroll'!$B$35/12)*0.7</f>
        <v>2916.666667</v>
      </c>
      <c r="P37" s="8">
        <f>('Employee Payroll'!$C$36/12)*0.7</f>
        <v>5833.333333</v>
      </c>
      <c r="Q37" s="8">
        <f>('Employee Payroll'!$C$36/12)*0.7</f>
        <v>5833.333333</v>
      </c>
      <c r="R37" s="8">
        <f>('Employee Payroll'!$C$36/12)*0.7</f>
        <v>5833.333333</v>
      </c>
      <c r="S37" s="8">
        <f>('Employee Payroll'!$C$36/12)*0.7</f>
        <v>5833.333333</v>
      </c>
      <c r="T37" s="8">
        <f>('Employee Payroll'!$C$36/12)*0.7</f>
        <v>5833.333333</v>
      </c>
      <c r="U37" s="8">
        <f>('Employee Payroll'!$C$36/12)*0.7</f>
        <v>5833.333333</v>
      </c>
      <c r="V37" s="8">
        <f>('Employee Payroll'!$C$36/12)*0.7</f>
        <v>5833.333333</v>
      </c>
      <c r="W37" s="8">
        <f>('Employee Payroll'!$C$36/12)*0.7</f>
        <v>5833.333333</v>
      </c>
      <c r="X37" s="8">
        <f>('Employee Payroll'!$C$36/12)*0.7</f>
        <v>5833.333333</v>
      </c>
      <c r="Y37" s="8">
        <f>('Employee Payroll'!$C$36/12)*0.7</f>
        <v>5833.333333</v>
      </c>
      <c r="Z37" s="8">
        <f>('Employee Payroll'!$C$36/12)*0.7</f>
        <v>5833.333333</v>
      </c>
      <c r="AA37" s="8">
        <f>('Employee Payroll'!$C$36/12)*0.7</f>
        <v>5833.333333</v>
      </c>
      <c r="AB37" s="8">
        <f>('Employee Payroll'!$D$36/12)*0.7</f>
        <v>8750</v>
      </c>
      <c r="AC37" s="8">
        <f>('Employee Payroll'!$D$36/12)*0.7</f>
        <v>8750</v>
      </c>
      <c r="AD37" s="8">
        <f>('Employee Payroll'!$D$36/12)*0.7</f>
        <v>8750</v>
      </c>
      <c r="AE37" s="8">
        <f>('Employee Payroll'!$D$36/12)*0.7</f>
        <v>8750</v>
      </c>
      <c r="AF37" s="8">
        <f>('Employee Payroll'!$D$36/12)*0.7</f>
        <v>8750</v>
      </c>
      <c r="AG37" s="8">
        <f>('Employee Payroll'!$D$36/12)*0.7</f>
        <v>8750</v>
      </c>
      <c r="AH37" s="8">
        <f>('Employee Payroll'!$D$36/12)*0.7</f>
        <v>8750</v>
      </c>
      <c r="AI37" s="8">
        <f>('Employee Payroll'!$D$36/12)*0.7</f>
        <v>8750</v>
      </c>
      <c r="AJ37" s="8">
        <f>('Employee Payroll'!$D$36/12)*0.7</f>
        <v>8750</v>
      </c>
      <c r="AK37" s="8">
        <f>('Employee Payroll'!$D$36/12)*0.7</f>
        <v>8750</v>
      </c>
      <c r="AL37" s="8">
        <f>('Employee Payroll'!$D$36/12)*0.7</f>
        <v>8750</v>
      </c>
      <c r="AM37" s="8">
        <f>('Employee Payroll'!$D$36/12)*0.7</f>
        <v>8750</v>
      </c>
      <c r="AN37" s="2"/>
      <c r="AO37" s="2"/>
      <c r="AP37" s="2"/>
      <c r="AQ37" s="2"/>
      <c r="AR37" s="2"/>
      <c r="AS37" s="2"/>
    </row>
    <row r="38" ht="15.75" customHeight="1">
      <c r="A38" s="1"/>
      <c r="B38" s="1"/>
      <c r="C38" s="2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2"/>
      <c r="AO38" s="2"/>
      <c r="AP38" s="2"/>
      <c r="AQ38" s="2"/>
      <c r="AR38" s="2"/>
      <c r="AS38" s="2"/>
    </row>
    <row r="39" ht="15.75" customHeight="1">
      <c r="A39" s="1"/>
      <c r="B39" s="1" t="s">
        <v>55</v>
      </c>
      <c r="C39" s="2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2"/>
      <c r="AO39" s="2"/>
      <c r="AP39" s="2"/>
      <c r="AQ39" s="2"/>
      <c r="AR39" s="2"/>
      <c r="AS39" s="2"/>
    </row>
    <row r="40" ht="15.75" customHeight="1">
      <c r="A40" s="1"/>
      <c r="B40" s="1"/>
      <c r="C40" s="2" t="s">
        <v>28</v>
      </c>
      <c r="D40" s="8">
        <v>0.0</v>
      </c>
      <c r="E40" s="8">
        <v>0.0</v>
      </c>
      <c r="F40" s="8">
        <v>0.0</v>
      </c>
      <c r="G40" s="8">
        <v>0.0</v>
      </c>
      <c r="H40" s="8">
        <f>('Employee Payroll'!$B$42/12)*0.7</f>
        <v>10500</v>
      </c>
      <c r="I40" s="8">
        <f>('Employee Payroll'!$B$42/12)*0.7</f>
        <v>10500</v>
      </c>
      <c r="J40" s="8">
        <f>('Employee Payroll'!$B$42/12)*0.7</f>
        <v>10500</v>
      </c>
      <c r="K40" s="8">
        <f>('Employee Payroll'!$B$42/12)*0.7</f>
        <v>10500</v>
      </c>
      <c r="L40" s="8">
        <f>('Employee Payroll'!$B$42/12)*0.7</f>
        <v>10500</v>
      </c>
      <c r="M40" s="8">
        <f>('Employee Payroll'!$B$42/12)*0.7</f>
        <v>10500</v>
      </c>
      <c r="N40" s="8">
        <f>('Employee Payroll'!$B$42/12)*0.7</f>
        <v>10500</v>
      </c>
      <c r="O40" s="8">
        <f>('Employee Payroll'!$B$42/12)*0.7</f>
        <v>10500</v>
      </c>
      <c r="P40" s="8">
        <f>('Employee Payroll'!$B$42/12)*0.7</f>
        <v>10500</v>
      </c>
      <c r="Q40" s="8">
        <f>('Employee Payroll'!$B$42/12)*0.7</f>
        <v>10500</v>
      </c>
      <c r="R40" s="8">
        <f>('Employee Payroll'!$B$42/12)*0.7</f>
        <v>10500</v>
      </c>
      <c r="S40" s="8">
        <f>('Employee Payroll'!$B$42/12)*0.7</f>
        <v>10500</v>
      </c>
      <c r="T40" s="8">
        <f>('Employee Payroll'!$B$42/12)*0.7</f>
        <v>10500</v>
      </c>
      <c r="U40" s="8">
        <f>('Employee Payroll'!$B$42/12)*0.7</f>
        <v>10500</v>
      </c>
      <c r="V40" s="8">
        <f>('Employee Payroll'!$B$42/12)*0.7</f>
        <v>10500</v>
      </c>
      <c r="W40" s="8">
        <f>('Employee Payroll'!$B$42/12)*0.7</f>
        <v>10500</v>
      </c>
      <c r="X40" s="8">
        <f>('Employee Payroll'!$B$42/12)*0.7</f>
        <v>10500</v>
      </c>
      <c r="Y40" s="8">
        <f>('Employee Payroll'!$B$42/12)*0.7</f>
        <v>10500</v>
      </c>
      <c r="Z40" s="8">
        <f>('Employee Payroll'!$B$42/12)*0.7</f>
        <v>10500</v>
      </c>
      <c r="AA40" s="8">
        <f>('Employee Payroll'!$B$42/12)*0.7</f>
        <v>10500</v>
      </c>
      <c r="AB40" s="8">
        <f>('Employee Payroll'!$B$42/12)*0.7</f>
        <v>10500</v>
      </c>
      <c r="AC40" s="8">
        <f>('Employee Payroll'!$B$42/12)*0.7</f>
        <v>10500</v>
      </c>
      <c r="AD40" s="8">
        <f>('Employee Payroll'!$B$42/12)*0.7</f>
        <v>10500</v>
      </c>
      <c r="AE40" s="8">
        <f>('Employee Payroll'!$B$42/12)*0.7</f>
        <v>10500</v>
      </c>
      <c r="AF40" s="8">
        <f>('Employee Payroll'!$B$42/12)*0.7</f>
        <v>10500</v>
      </c>
      <c r="AG40" s="8">
        <f>('Employee Payroll'!$B$42/12)*0.7</f>
        <v>10500</v>
      </c>
      <c r="AH40" s="8">
        <f>('Employee Payroll'!$B$42/12)*0.7</f>
        <v>10500</v>
      </c>
      <c r="AI40" s="8">
        <f>('Employee Payroll'!$B$42/12)*0.7</f>
        <v>10500</v>
      </c>
      <c r="AJ40" s="8">
        <f>('Employee Payroll'!$B$42/12)*0.7</f>
        <v>10500</v>
      </c>
      <c r="AK40" s="8">
        <f>('Employee Payroll'!$B$42/12)*0.7</f>
        <v>10500</v>
      </c>
      <c r="AL40" s="8">
        <f>('Employee Payroll'!$B$42/12)*0.7</f>
        <v>10500</v>
      </c>
      <c r="AM40" s="8">
        <f>('Employee Payroll'!$B$42/12)*0.7</f>
        <v>10500</v>
      </c>
      <c r="AN40" s="2"/>
      <c r="AO40" s="2"/>
      <c r="AP40" s="2"/>
      <c r="AQ40" s="2"/>
      <c r="AR40" s="2"/>
      <c r="AS40" s="2"/>
    </row>
    <row r="41" ht="15.75" customHeight="1">
      <c r="A41" s="1"/>
      <c r="B41" s="1"/>
      <c r="C41" s="2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2"/>
      <c r="AO41" s="2"/>
      <c r="AP41" s="2"/>
      <c r="AQ41" s="2"/>
      <c r="AR41" s="2"/>
      <c r="AS41" s="2"/>
    </row>
    <row r="42" ht="15.75" customHeight="1">
      <c r="A42" s="1"/>
      <c r="B42" s="1" t="s">
        <v>56</v>
      </c>
      <c r="C42" s="2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2"/>
      <c r="AO42" s="2"/>
      <c r="AP42" s="2"/>
      <c r="AQ42" s="2"/>
      <c r="AR42" s="2"/>
      <c r="AS42" s="2"/>
    </row>
    <row r="43" ht="15.75" customHeight="1">
      <c r="A43" s="1"/>
      <c r="B43" s="1"/>
      <c r="C43" s="2" t="s">
        <v>39</v>
      </c>
      <c r="D43" s="8">
        <f>15000*0.7</f>
        <v>10500</v>
      </c>
      <c r="E43" s="8">
        <v>0.0</v>
      </c>
      <c r="F43" s="8">
        <v>0.0</v>
      </c>
      <c r="G43" s="8">
        <v>0.0</v>
      </c>
      <c r="H43" s="8">
        <f>5000*0.7</f>
        <v>3500</v>
      </c>
      <c r="I43" s="8">
        <v>0.0</v>
      </c>
      <c r="J43" s="8">
        <f t="shared" ref="J43:AM43" si="8">50000/12+(20000/12*0.7)</f>
        <v>5333.333333</v>
      </c>
      <c r="K43" s="8">
        <f t="shared" si="8"/>
        <v>5333.333333</v>
      </c>
      <c r="L43" s="8">
        <f t="shared" si="8"/>
        <v>5333.333333</v>
      </c>
      <c r="M43" s="8">
        <f t="shared" si="8"/>
        <v>5333.333333</v>
      </c>
      <c r="N43" s="8">
        <f t="shared" si="8"/>
        <v>5333.333333</v>
      </c>
      <c r="O43" s="8">
        <f t="shared" si="8"/>
        <v>5333.333333</v>
      </c>
      <c r="P43" s="8">
        <f t="shared" si="8"/>
        <v>5333.333333</v>
      </c>
      <c r="Q43" s="8">
        <f t="shared" si="8"/>
        <v>5333.333333</v>
      </c>
      <c r="R43" s="8">
        <f t="shared" si="8"/>
        <v>5333.333333</v>
      </c>
      <c r="S43" s="8">
        <f t="shared" si="8"/>
        <v>5333.333333</v>
      </c>
      <c r="T43" s="8">
        <f t="shared" si="8"/>
        <v>5333.333333</v>
      </c>
      <c r="U43" s="8">
        <f t="shared" si="8"/>
        <v>5333.333333</v>
      </c>
      <c r="V43" s="8">
        <f t="shared" si="8"/>
        <v>5333.333333</v>
      </c>
      <c r="W43" s="8">
        <f t="shared" si="8"/>
        <v>5333.333333</v>
      </c>
      <c r="X43" s="8">
        <f t="shared" si="8"/>
        <v>5333.333333</v>
      </c>
      <c r="Y43" s="8">
        <f t="shared" si="8"/>
        <v>5333.333333</v>
      </c>
      <c r="Z43" s="8">
        <f t="shared" si="8"/>
        <v>5333.333333</v>
      </c>
      <c r="AA43" s="8">
        <f t="shared" si="8"/>
        <v>5333.333333</v>
      </c>
      <c r="AB43" s="8">
        <f t="shared" si="8"/>
        <v>5333.333333</v>
      </c>
      <c r="AC43" s="8">
        <f t="shared" si="8"/>
        <v>5333.333333</v>
      </c>
      <c r="AD43" s="8">
        <f t="shared" si="8"/>
        <v>5333.333333</v>
      </c>
      <c r="AE43" s="8">
        <f t="shared" si="8"/>
        <v>5333.333333</v>
      </c>
      <c r="AF43" s="8">
        <f t="shared" si="8"/>
        <v>5333.333333</v>
      </c>
      <c r="AG43" s="8">
        <f t="shared" si="8"/>
        <v>5333.333333</v>
      </c>
      <c r="AH43" s="8">
        <f t="shared" si="8"/>
        <v>5333.333333</v>
      </c>
      <c r="AI43" s="8">
        <f t="shared" si="8"/>
        <v>5333.333333</v>
      </c>
      <c r="AJ43" s="8">
        <f t="shared" si="8"/>
        <v>5333.333333</v>
      </c>
      <c r="AK43" s="8">
        <f t="shared" si="8"/>
        <v>5333.333333</v>
      </c>
      <c r="AL43" s="8">
        <f t="shared" si="8"/>
        <v>5333.333333</v>
      </c>
      <c r="AM43" s="8">
        <f t="shared" si="8"/>
        <v>5333.333333</v>
      </c>
      <c r="AN43" s="2"/>
      <c r="AO43" s="2"/>
      <c r="AP43" s="2"/>
      <c r="AQ43" s="2"/>
      <c r="AR43" s="2"/>
      <c r="AS43" s="2"/>
    </row>
    <row r="44" ht="15.75" customHeight="1">
      <c r="A44" s="1"/>
      <c r="B44" s="1"/>
      <c r="C44" s="2" t="s">
        <v>40</v>
      </c>
      <c r="D44" s="8">
        <v>0.0</v>
      </c>
      <c r="E44" s="8">
        <v>0.0</v>
      </c>
      <c r="F44" s="8">
        <f>'Monthly Budget'!$D$33</f>
        <v>70</v>
      </c>
      <c r="G44" s="8">
        <f>'Monthly Budget'!$D$33</f>
        <v>70</v>
      </c>
      <c r="H44" s="8">
        <f>('Monthly Budget'!$D$33)*0.7</f>
        <v>49</v>
      </c>
      <c r="I44" s="8">
        <f>('Monthly Budget'!$D$33)*0.7</f>
        <v>49</v>
      </c>
      <c r="J44" s="8">
        <f>('Monthly Budget'!$D$33)*0.7</f>
        <v>49</v>
      </c>
      <c r="K44" s="8">
        <f>('Monthly Budget'!$D$33)*0.7</f>
        <v>49</v>
      </c>
      <c r="L44" s="8">
        <f>('Monthly Budget'!$D$33)*0.7</f>
        <v>49</v>
      </c>
      <c r="M44" s="8">
        <f>('Monthly Budget'!$D$33)*0.7</f>
        <v>49</v>
      </c>
      <c r="N44" s="8">
        <f t="shared" ref="N44:AM44" si="9">500*0.7</f>
        <v>350</v>
      </c>
      <c r="O44" s="8">
        <f t="shared" si="9"/>
        <v>350</v>
      </c>
      <c r="P44" s="8">
        <f t="shared" si="9"/>
        <v>350</v>
      </c>
      <c r="Q44" s="8">
        <f t="shared" si="9"/>
        <v>350</v>
      </c>
      <c r="R44" s="8">
        <f t="shared" si="9"/>
        <v>350</v>
      </c>
      <c r="S44" s="8">
        <f t="shared" si="9"/>
        <v>350</v>
      </c>
      <c r="T44" s="8">
        <f t="shared" si="9"/>
        <v>350</v>
      </c>
      <c r="U44" s="8">
        <f t="shared" si="9"/>
        <v>350</v>
      </c>
      <c r="V44" s="8">
        <f t="shared" si="9"/>
        <v>350</v>
      </c>
      <c r="W44" s="8">
        <f t="shared" si="9"/>
        <v>350</v>
      </c>
      <c r="X44" s="8">
        <f t="shared" si="9"/>
        <v>350</v>
      </c>
      <c r="Y44" s="8">
        <f t="shared" si="9"/>
        <v>350</v>
      </c>
      <c r="Z44" s="8">
        <f t="shared" si="9"/>
        <v>350</v>
      </c>
      <c r="AA44" s="8">
        <f t="shared" si="9"/>
        <v>350</v>
      </c>
      <c r="AB44" s="8">
        <f t="shared" si="9"/>
        <v>350</v>
      </c>
      <c r="AC44" s="8">
        <f t="shared" si="9"/>
        <v>350</v>
      </c>
      <c r="AD44" s="8">
        <f t="shared" si="9"/>
        <v>350</v>
      </c>
      <c r="AE44" s="8">
        <f t="shared" si="9"/>
        <v>350</v>
      </c>
      <c r="AF44" s="8">
        <f t="shared" si="9"/>
        <v>350</v>
      </c>
      <c r="AG44" s="8">
        <f t="shared" si="9"/>
        <v>350</v>
      </c>
      <c r="AH44" s="8">
        <f t="shared" si="9"/>
        <v>350</v>
      </c>
      <c r="AI44" s="8">
        <f t="shared" si="9"/>
        <v>350</v>
      </c>
      <c r="AJ44" s="8">
        <f t="shared" si="9"/>
        <v>350</v>
      </c>
      <c r="AK44" s="8">
        <f t="shared" si="9"/>
        <v>350</v>
      </c>
      <c r="AL44" s="8">
        <f t="shared" si="9"/>
        <v>350</v>
      </c>
      <c r="AM44" s="8">
        <f t="shared" si="9"/>
        <v>350</v>
      </c>
      <c r="AN44" s="2"/>
      <c r="AO44" s="2"/>
      <c r="AP44" s="2"/>
      <c r="AQ44" s="2"/>
      <c r="AR44" s="2"/>
      <c r="AS44" s="2"/>
    </row>
    <row r="45" ht="15.75" customHeight="1">
      <c r="A45" s="1"/>
      <c r="B45" s="1"/>
      <c r="C45" s="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2"/>
      <c r="AO45" s="2"/>
      <c r="AP45" s="2"/>
      <c r="AQ45" s="2"/>
      <c r="AR45" s="2"/>
      <c r="AS45" s="2"/>
    </row>
    <row r="46" ht="15.75" customHeight="1">
      <c r="A46" s="1"/>
      <c r="B46" s="1" t="s">
        <v>57</v>
      </c>
      <c r="C46" s="2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2"/>
      <c r="AO46" s="2"/>
      <c r="AP46" s="2"/>
      <c r="AQ46" s="2"/>
      <c r="AR46" s="2"/>
      <c r="AS46" s="2"/>
    </row>
    <row r="47" ht="15.75" customHeight="1">
      <c r="A47" s="1"/>
      <c r="B47" s="1"/>
      <c r="C47" s="2" t="s">
        <v>58</v>
      </c>
      <c r="D47" s="8">
        <v>0.0</v>
      </c>
      <c r="E47" s="8">
        <v>0.0</v>
      </c>
      <c r="F47" s="8">
        <v>0.0</v>
      </c>
      <c r="G47" s="8">
        <v>0.0</v>
      </c>
      <c r="H47" s="8">
        <f>('Monthly Budget'!$D$37)*0.7</f>
        <v>2100</v>
      </c>
      <c r="I47" s="8">
        <f>('Monthly Budget'!$D$37)*0.7</f>
        <v>2100</v>
      </c>
      <c r="J47" s="8">
        <f>('Monthly Budget'!$D$37)*0.7</f>
        <v>2100</v>
      </c>
      <c r="K47" s="8">
        <f>('Monthly Budget'!$D$37)*0.7</f>
        <v>2100</v>
      </c>
      <c r="L47" s="8">
        <f>('Monthly Budget'!$D$37)*0.7</f>
        <v>2100</v>
      </c>
      <c r="M47" s="8">
        <f>('Monthly Budget'!$D$37)*0.7</f>
        <v>2100</v>
      </c>
      <c r="N47" s="8">
        <f>('Monthly Budget'!$D$37)*0.7</f>
        <v>2100</v>
      </c>
      <c r="O47" s="8">
        <f>('Monthly Budget'!$D$37)*0.7</f>
        <v>2100</v>
      </c>
      <c r="P47" s="8">
        <f>('Monthly Budget'!$D$37)*0.7</f>
        <v>2100</v>
      </c>
      <c r="Q47" s="8">
        <f>('Monthly Budget'!$D$37)*0.7</f>
        <v>2100</v>
      </c>
      <c r="R47" s="8">
        <f>('Monthly Budget'!$D$37)*0.7</f>
        <v>2100</v>
      </c>
      <c r="S47" s="8">
        <f>('Monthly Budget'!$D$37)*0.7</f>
        <v>2100</v>
      </c>
      <c r="T47" s="8">
        <f>('Monthly Budget'!$D$37)*0.7</f>
        <v>2100</v>
      </c>
      <c r="U47" s="8">
        <f>('Monthly Budget'!$D$37)*0.7</f>
        <v>2100</v>
      </c>
      <c r="V47" s="8">
        <f>('Monthly Budget'!$D$37)*0.7</f>
        <v>2100</v>
      </c>
      <c r="W47" s="8">
        <f>('Monthly Budget'!$D$37)*0.7</f>
        <v>2100</v>
      </c>
      <c r="X47" s="8">
        <f>('Monthly Budget'!$D$37)*0.7</f>
        <v>2100</v>
      </c>
      <c r="Y47" s="8">
        <f>('Monthly Budget'!$D$37)*0.7</f>
        <v>2100</v>
      </c>
      <c r="Z47" s="8">
        <f>('Monthly Budget'!$D$37)*0.7</f>
        <v>2100</v>
      </c>
      <c r="AA47" s="8">
        <f>('Monthly Budget'!$D$37)*0.7</f>
        <v>2100</v>
      </c>
      <c r="AB47" s="8">
        <f>('Monthly Budget'!$D$37)*0.7</f>
        <v>2100</v>
      </c>
      <c r="AC47" s="8">
        <f>('Monthly Budget'!$D$37)*0.7</f>
        <v>2100</v>
      </c>
      <c r="AD47" s="8">
        <f>('Monthly Budget'!$D$37)*0.7</f>
        <v>2100</v>
      </c>
      <c r="AE47" s="8">
        <f>('Monthly Budget'!$D$37)*0.7</f>
        <v>2100</v>
      </c>
      <c r="AF47" s="8">
        <f>('Monthly Budget'!$D$37)*0.7</f>
        <v>2100</v>
      </c>
      <c r="AG47" s="8">
        <f>('Monthly Budget'!$D$37)*0.7</f>
        <v>2100</v>
      </c>
      <c r="AH47" s="8">
        <f>('Monthly Budget'!$D$37)*0.7</f>
        <v>2100</v>
      </c>
      <c r="AI47" s="8">
        <f>('Monthly Budget'!$D$37)*0.7</f>
        <v>2100</v>
      </c>
      <c r="AJ47" s="8">
        <f>('Monthly Budget'!$D$37)*0.7</f>
        <v>2100</v>
      </c>
      <c r="AK47" s="8">
        <f>('Monthly Budget'!$D$37)*0.7</f>
        <v>2100</v>
      </c>
      <c r="AL47" s="8">
        <f>('Monthly Budget'!$D$37)*0.7</f>
        <v>2100</v>
      </c>
      <c r="AM47" s="8">
        <f>('Monthly Budget'!$D$37)*0.7</f>
        <v>2100</v>
      </c>
      <c r="AN47" s="2"/>
      <c r="AO47" s="2"/>
      <c r="AP47" s="2"/>
      <c r="AQ47" s="2"/>
      <c r="AR47" s="2"/>
      <c r="AS47" s="2"/>
    </row>
    <row r="48" ht="15.75" customHeight="1">
      <c r="A48" s="1"/>
      <c r="B48" s="1"/>
      <c r="C48" s="2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2"/>
      <c r="AO48" s="2"/>
      <c r="AP48" s="2"/>
      <c r="AQ48" s="2"/>
      <c r="AR48" s="2"/>
      <c r="AS48" s="2"/>
    </row>
    <row r="49" ht="15.75" customHeight="1">
      <c r="A49" s="1"/>
      <c r="B49" s="1" t="s">
        <v>59</v>
      </c>
      <c r="C49" s="2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2"/>
      <c r="AO49" s="2"/>
      <c r="AP49" s="2"/>
      <c r="AQ49" s="2"/>
      <c r="AR49" s="2"/>
      <c r="AS49" s="2"/>
    </row>
    <row r="50" ht="15.75" customHeight="1">
      <c r="A50" s="1"/>
      <c r="B50" s="1"/>
      <c r="C50" s="2" t="s">
        <v>60</v>
      </c>
      <c r="D50" s="8">
        <v>0.0</v>
      </c>
      <c r="E50" s="8">
        <v>0.0</v>
      </c>
      <c r="F50" s="8">
        <v>0.0</v>
      </c>
      <c r="G50" s="8">
        <v>0.0</v>
      </c>
      <c r="H50" s="8">
        <v>0.0</v>
      </c>
      <c r="I50" s="8">
        <v>0.0</v>
      </c>
      <c r="J50" s="8">
        <f>('Monthly Budget'!$D$40)*0.7</f>
        <v>700</v>
      </c>
      <c r="K50" s="8">
        <f>('Monthly Budget'!$D$40)*0.7</f>
        <v>700</v>
      </c>
      <c r="L50" s="8">
        <f>('Monthly Budget'!$D$40)*0.7</f>
        <v>700</v>
      </c>
      <c r="M50" s="8">
        <f>('Monthly Budget'!$D$40)*0.7</f>
        <v>700</v>
      </c>
      <c r="N50" s="8">
        <f>('Monthly Budget'!$D$40)*0.7</f>
        <v>700</v>
      </c>
      <c r="O50" s="8">
        <f>('Monthly Budget'!$D$40)*0.7</f>
        <v>700</v>
      </c>
      <c r="P50" s="8">
        <f t="shared" ref="P50:AM50" si="10">2500*0.7</f>
        <v>1750</v>
      </c>
      <c r="Q50" s="8">
        <f t="shared" si="10"/>
        <v>1750</v>
      </c>
      <c r="R50" s="8">
        <f t="shared" si="10"/>
        <v>1750</v>
      </c>
      <c r="S50" s="8">
        <f t="shared" si="10"/>
        <v>1750</v>
      </c>
      <c r="T50" s="8">
        <f t="shared" si="10"/>
        <v>1750</v>
      </c>
      <c r="U50" s="8">
        <f t="shared" si="10"/>
        <v>1750</v>
      </c>
      <c r="V50" s="8">
        <f t="shared" si="10"/>
        <v>1750</v>
      </c>
      <c r="W50" s="8">
        <f t="shared" si="10"/>
        <v>1750</v>
      </c>
      <c r="X50" s="8">
        <f t="shared" si="10"/>
        <v>1750</v>
      </c>
      <c r="Y50" s="8">
        <f t="shared" si="10"/>
        <v>1750</v>
      </c>
      <c r="Z50" s="8">
        <f t="shared" si="10"/>
        <v>1750</v>
      </c>
      <c r="AA50" s="8">
        <f t="shared" si="10"/>
        <v>1750</v>
      </c>
      <c r="AB50" s="8">
        <f t="shared" si="10"/>
        <v>1750</v>
      </c>
      <c r="AC50" s="8">
        <f t="shared" si="10"/>
        <v>1750</v>
      </c>
      <c r="AD50" s="8">
        <f t="shared" si="10"/>
        <v>1750</v>
      </c>
      <c r="AE50" s="8">
        <f t="shared" si="10"/>
        <v>1750</v>
      </c>
      <c r="AF50" s="8">
        <f t="shared" si="10"/>
        <v>1750</v>
      </c>
      <c r="AG50" s="8">
        <f t="shared" si="10"/>
        <v>1750</v>
      </c>
      <c r="AH50" s="8">
        <f t="shared" si="10"/>
        <v>1750</v>
      </c>
      <c r="AI50" s="8">
        <f t="shared" si="10"/>
        <v>1750</v>
      </c>
      <c r="AJ50" s="8">
        <f t="shared" si="10"/>
        <v>1750</v>
      </c>
      <c r="AK50" s="8">
        <f t="shared" si="10"/>
        <v>1750</v>
      </c>
      <c r="AL50" s="8">
        <f t="shared" si="10"/>
        <v>1750</v>
      </c>
      <c r="AM50" s="8">
        <f t="shared" si="10"/>
        <v>1750</v>
      </c>
      <c r="AN50" s="2"/>
      <c r="AO50" s="2"/>
      <c r="AP50" s="2"/>
      <c r="AQ50" s="2"/>
      <c r="AR50" s="2"/>
      <c r="AS50" s="2"/>
    </row>
    <row r="51" ht="15.75" customHeight="1">
      <c r="A51" s="1"/>
      <c r="B51" s="1"/>
      <c r="C51" s="2" t="s">
        <v>61</v>
      </c>
      <c r="D51" s="8">
        <v>0.0</v>
      </c>
      <c r="E51" s="8">
        <v>0.0</v>
      </c>
      <c r="F51" s="8">
        <v>0.0</v>
      </c>
      <c r="G51" s="8">
        <v>0.0</v>
      </c>
      <c r="H51" s="8">
        <v>0.0</v>
      </c>
      <c r="I51" s="8">
        <v>0.0</v>
      </c>
      <c r="J51" s="8">
        <f>('Monthly Budget'!$D$41)*0.7</f>
        <v>70</v>
      </c>
      <c r="K51" s="8">
        <f>('Monthly Budget'!$D$41)*0.7</f>
        <v>70</v>
      </c>
      <c r="L51" s="8">
        <f>('Monthly Budget'!$D$41)*0.7</f>
        <v>70</v>
      </c>
      <c r="M51" s="8">
        <f>('Monthly Budget'!$D$41)*0.7</f>
        <v>70</v>
      </c>
      <c r="N51" s="8">
        <f>('Monthly Budget'!$D$41)*0.7</f>
        <v>70</v>
      </c>
      <c r="O51" s="8">
        <f>('Monthly Budget'!$D$41)*0.7</f>
        <v>70</v>
      </c>
      <c r="P51" s="8">
        <f>('Monthly Budget'!$D$41)*0.7</f>
        <v>70</v>
      </c>
      <c r="Q51" s="8">
        <f>('Monthly Budget'!$D$41)*0.7</f>
        <v>70</v>
      </c>
      <c r="R51" s="8">
        <f>('Monthly Budget'!$D$41)*0.7</f>
        <v>70</v>
      </c>
      <c r="S51" s="8">
        <f>('Monthly Budget'!$D$41)*0.7</f>
        <v>70</v>
      </c>
      <c r="T51" s="8">
        <f>('Monthly Budget'!$D$41)*0.7</f>
        <v>70</v>
      </c>
      <c r="U51" s="8">
        <f>('Monthly Budget'!$D$41)*0.7</f>
        <v>70</v>
      </c>
      <c r="V51" s="8">
        <f>('Monthly Budget'!$D$41)*0.7</f>
        <v>70</v>
      </c>
      <c r="W51" s="8">
        <f>('Monthly Budget'!$D$41)*0.7</f>
        <v>70</v>
      </c>
      <c r="X51" s="8">
        <f>('Monthly Budget'!$D$41)*0.7</f>
        <v>70</v>
      </c>
      <c r="Y51" s="8">
        <f>('Monthly Budget'!$D$41)*0.7</f>
        <v>70</v>
      </c>
      <c r="Z51" s="8">
        <f>('Monthly Budget'!$D$41)*0.7</f>
        <v>70</v>
      </c>
      <c r="AA51" s="8">
        <f>('Monthly Budget'!$D$41)*0.7</f>
        <v>70</v>
      </c>
      <c r="AB51" s="8">
        <f>('Monthly Budget'!$D$41)*0.7</f>
        <v>70</v>
      </c>
      <c r="AC51" s="8">
        <f>('Monthly Budget'!$D$41)*0.7</f>
        <v>70</v>
      </c>
      <c r="AD51" s="8">
        <f>('Monthly Budget'!$D$41)*0.7</f>
        <v>70</v>
      </c>
      <c r="AE51" s="8">
        <f>('Monthly Budget'!$D$41)*0.7</f>
        <v>70</v>
      </c>
      <c r="AF51" s="8">
        <f>('Monthly Budget'!$D$41)*0.7</f>
        <v>70</v>
      </c>
      <c r="AG51" s="8">
        <f>('Monthly Budget'!$D$41)*0.7</f>
        <v>70</v>
      </c>
      <c r="AH51" s="8">
        <f>('Monthly Budget'!$D$41)*0.7</f>
        <v>70</v>
      </c>
      <c r="AI51" s="8">
        <f>('Monthly Budget'!$D$41)*0.7</f>
        <v>70</v>
      </c>
      <c r="AJ51" s="8">
        <f>('Monthly Budget'!$D$41)*0.7</f>
        <v>70</v>
      </c>
      <c r="AK51" s="8">
        <f>('Monthly Budget'!$D$41)*0.7</f>
        <v>70</v>
      </c>
      <c r="AL51" s="8">
        <f>('Monthly Budget'!$D$41)*0.7</f>
        <v>70</v>
      </c>
      <c r="AM51" s="8">
        <f>('Monthly Budget'!$D$41)*0.7</f>
        <v>70</v>
      </c>
      <c r="AN51" s="2"/>
      <c r="AO51" s="2"/>
      <c r="AP51" s="2"/>
      <c r="AQ51" s="2"/>
      <c r="AR51" s="2"/>
      <c r="AS51" s="2"/>
    </row>
    <row r="52" ht="15.75" customHeight="1">
      <c r="A52" s="1"/>
      <c r="B52" s="1"/>
      <c r="C52" s="2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2"/>
      <c r="AO52" s="2"/>
      <c r="AP52" s="2"/>
      <c r="AQ52" s="2"/>
      <c r="AR52" s="2"/>
      <c r="AS52" s="2"/>
    </row>
    <row r="53" ht="15.75" customHeight="1">
      <c r="A53" s="1"/>
      <c r="B53" s="1" t="s">
        <v>62</v>
      </c>
      <c r="C53" s="2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2"/>
      <c r="AO53" s="2"/>
      <c r="AP53" s="2"/>
      <c r="AQ53" s="2"/>
      <c r="AR53" s="2"/>
      <c r="AS53" s="2"/>
    </row>
    <row r="54" ht="15.75" customHeight="1">
      <c r="A54" s="1"/>
      <c r="B54" s="1"/>
      <c r="C54" s="2" t="s">
        <v>42</v>
      </c>
      <c r="D54" s="8">
        <v>0.0</v>
      </c>
      <c r="E54" s="8">
        <v>0.0</v>
      </c>
      <c r="F54" s="8">
        <v>0.0</v>
      </c>
      <c r="G54" s="8">
        <v>0.0</v>
      </c>
      <c r="H54" s="8">
        <f>('Monthly Budget'!$D$45*'Employee Payroll'!$B$40)*0.7</f>
        <v>23.33333333</v>
      </c>
      <c r="I54" s="8">
        <f>('Monthly Budget'!$D$45*'Employee Payroll'!$B$40)*0.7</f>
        <v>23.33333333</v>
      </c>
      <c r="J54" s="8">
        <f>'Monthly Budget'!$D$45*4*0.7</f>
        <v>46.66666667</v>
      </c>
      <c r="K54" s="8">
        <f>'Monthly Budget'!$D$45*4*0.7</f>
        <v>46.66666667</v>
      </c>
      <c r="L54" s="8">
        <f>'Monthly Budget'!$D$45*4*0.7</f>
        <v>46.66666667</v>
      </c>
      <c r="M54" s="8">
        <f>'Monthly Budget'!$D$45*4*0.7</f>
        <v>46.66666667</v>
      </c>
      <c r="N54" s="8">
        <f>'Monthly Budget'!$D$45*4*0.7</f>
        <v>46.66666667</v>
      </c>
      <c r="O54" s="8">
        <f>'Monthly Budget'!$D$45*4*0.7</f>
        <v>46.66666667</v>
      </c>
      <c r="P54" s="8">
        <f>'Monthly Budget'!$D$45*'Employee Payroll'!$C$44*0.7</f>
        <v>116.6666667</v>
      </c>
      <c r="Q54" s="8">
        <f>'Monthly Budget'!$D$45*'Employee Payroll'!$C$44*0.7</f>
        <v>116.6666667</v>
      </c>
      <c r="R54" s="8">
        <f>'Monthly Budget'!$D$45*'Employee Payroll'!$C$44*0.7</f>
        <v>116.6666667</v>
      </c>
      <c r="S54" s="8">
        <f>'Monthly Budget'!$D$45*'Employee Payroll'!$C$44*0.7</f>
        <v>116.6666667</v>
      </c>
      <c r="T54" s="8">
        <f>'Monthly Budget'!$D$45*'Employee Payroll'!$C$44*0.7</f>
        <v>116.6666667</v>
      </c>
      <c r="U54" s="8">
        <f>'Monthly Budget'!$D$45*'Employee Payroll'!$C$44*0.7</f>
        <v>116.6666667</v>
      </c>
      <c r="V54" s="8">
        <f>'Monthly Budget'!$D$45*'Employee Payroll'!$C$44*0.7</f>
        <v>116.6666667</v>
      </c>
      <c r="W54" s="8">
        <f>'Monthly Budget'!$D$45*'Employee Payroll'!$C$44*0.7</f>
        <v>116.6666667</v>
      </c>
      <c r="X54" s="8">
        <f>'Monthly Budget'!$D$45*'Employee Payroll'!$C$44*0.7</f>
        <v>116.6666667</v>
      </c>
      <c r="Y54" s="8">
        <f>'Monthly Budget'!$D$45*'Employee Payroll'!$C$44*0.7</f>
        <v>116.6666667</v>
      </c>
      <c r="Z54" s="8">
        <f>'Monthly Budget'!$D$45*'Employee Payroll'!$C$44*0.7</f>
        <v>116.6666667</v>
      </c>
      <c r="AA54" s="8">
        <f>'Monthly Budget'!$D$45*'Employee Payroll'!$C$44*0.7</f>
        <v>116.6666667</v>
      </c>
      <c r="AB54" s="8">
        <f>'Monthly Budget'!$D$45*'Employee Payroll'!$D$44*0.7</f>
        <v>186.6666667</v>
      </c>
      <c r="AC54" s="8">
        <f>'Monthly Budget'!$D$45*'Employee Payroll'!$D$44*0.7</f>
        <v>186.6666667</v>
      </c>
      <c r="AD54" s="8">
        <f>'Monthly Budget'!$D$45*'Employee Payroll'!$D$44*0.7</f>
        <v>186.6666667</v>
      </c>
      <c r="AE54" s="8">
        <f>'Monthly Budget'!$D$45*'Employee Payroll'!$D$44*0.7</f>
        <v>186.6666667</v>
      </c>
      <c r="AF54" s="8">
        <f>'Monthly Budget'!$D$45*'Employee Payroll'!$D$44*0.7</f>
        <v>186.6666667</v>
      </c>
      <c r="AG54" s="8">
        <f>'Monthly Budget'!$D$45*'Employee Payroll'!$D$44*0.7</f>
        <v>186.6666667</v>
      </c>
      <c r="AH54" s="8">
        <f>'Monthly Budget'!$D$45*'Employee Payroll'!$D$44*0.7</f>
        <v>186.6666667</v>
      </c>
      <c r="AI54" s="8">
        <f>'Monthly Budget'!$D$45*'Employee Payroll'!$D$44*0.7</f>
        <v>186.6666667</v>
      </c>
      <c r="AJ54" s="8">
        <f>'Monthly Budget'!$D$45*'Employee Payroll'!$D$44*0.7</f>
        <v>186.6666667</v>
      </c>
      <c r="AK54" s="8">
        <f>'Monthly Budget'!$D$45*'Employee Payroll'!$D$44*0.7</f>
        <v>186.6666667</v>
      </c>
      <c r="AL54" s="8">
        <f>'Monthly Budget'!$D$45*'Employee Payroll'!$D$44*0.7</f>
        <v>186.6666667</v>
      </c>
      <c r="AM54" s="8">
        <f>'Monthly Budget'!$D$45*'Employee Payroll'!$D$44*0.7</f>
        <v>186.6666667</v>
      </c>
      <c r="AN54" s="2"/>
      <c r="AO54" s="2"/>
      <c r="AP54" s="2"/>
      <c r="AQ54" s="2"/>
      <c r="AR54" s="2"/>
      <c r="AS54" s="2"/>
    </row>
    <row r="55" ht="15.75" customHeight="1">
      <c r="A55" s="1"/>
      <c r="B55" s="1"/>
      <c r="C55" s="2" t="s">
        <v>43</v>
      </c>
      <c r="D55" s="8">
        <v>0.0</v>
      </c>
      <c r="E55" s="8">
        <v>0.0</v>
      </c>
      <c r="F55" s="8">
        <v>0.0</v>
      </c>
      <c r="G55" s="8">
        <v>0.0</v>
      </c>
      <c r="H55" s="8">
        <f>'Monthly Budget'!$D$46*2</f>
        <v>2.8</v>
      </c>
      <c r="I55" s="8">
        <f>'Monthly Budget'!$D$46*2</f>
        <v>2.8</v>
      </c>
      <c r="J55" s="8">
        <f>'Monthly Budget'!$D$46*4</f>
        <v>5.6</v>
      </c>
      <c r="K55" s="8">
        <f>'Monthly Budget'!$D$46*4</f>
        <v>5.6</v>
      </c>
      <c r="L55" s="8">
        <f>'Monthly Budget'!$D$46*4</f>
        <v>5.6</v>
      </c>
      <c r="M55" s="8">
        <f>'Monthly Budget'!$D$46*4</f>
        <v>5.6</v>
      </c>
      <c r="N55" s="8">
        <f>'Monthly Budget'!$D$46*4</f>
        <v>5.6</v>
      </c>
      <c r="O55" s="8">
        <f>'Monthly Budget'!$D$46*4</f>
        <v>5.6</v>
      </c>
      <c r="P55" s="8">
        <f>'Monthly Budget'!$D$46*'Employee Payroll'!$C$44</f>
        <v>14</v>
      </c>
      <c r="Q55" s="8">
        <f>'Monthly Budget'!$D$46*'Employee Payroll'!$C$44</f>
        <v>14</v>
      </c>
      <c r="R55" s="8">
        <f>'Monthly Budget'!$D$46*'Employee Payroll'!$C$44</f>
        <v>14</v>
      </c>
      <c r="S55" s="8">
        <f>'Monthly Budget'!$D$46*'Employee Payroll'!$C$44</f>
        <v>14</v>
      </c>
      <c r="T55" s="8">
        <f>'Monthly Budget'!$D$46*'Employee Payroll'!$C$44</f>
        <v>14</v>
      </c>
      <c r="U55" s="8">
        <f>'Monthly Budget'!$D$46*'Employee Payroll'!$C$44</f>
        <v>14</v>
      </c>
      <c r="V55" s="8">
        <f>'Monthly Budget'!$D$46*'Employee Payroll'!$C$44</f>
        <v>14</v>
      </c>
      <c r="W55" s="8">
        <f>'Monthly Budget'!$D$46*'Employee Payroll'!$C$44</f>
        <v>14</v>
      </c>
      <c r="X55" s="8">
        <f>'Monthly Budget'!$D$46*'Employee Payroll'!$C$44</f>
        <v>14</v>
      </c>
      <c r="Y55" s="8">
        <f>'Monthly Budget'!$D$46*'Employee Payroll'!$C$44</f>
        <v>14</v>
      </c>
      <c r="Z55" s="8">
        <f>'Monthly Budget'!$D$46*'Employee Payroll'!$C$44</f>
        <v>14</v>
      </c>
      <c r="AA55" s="8">
        <f>'Monthly Budget'!$D$46*'Employee Payroll'!$C$44</f>
        <v>14</v>
      </c>
      <c r="AB55" s="8">
        <f>'Monthly Budget'!$D$46*'Employee Payroll'!$D$44</f>
        <v>22.4</v>
      </c>
      <c r="AC55" s="8">
        <f>'Monthly Budget'!$D$46*'Employee Payroll'!$D$44</f>
        <v>22.4</v>
      </c>
      <c r="AD55" s="8">
        <f>'Monthly Budget'!$D$46*'Employee Payroll'!$D$44</f>
        <v>22.4</v>
      </c>
      <c r="AE55" s="8">
        <f>'Monthly Budget'!$D$46*'Employee Payroll'!$D$44</f>
        <v>22.4</v>
      </c>
      <c r="AF55" s="8">
        <f>'Monthly Budget'!$D$46*'Employee Payroll'!$D$44</f>
        <v>22.4</v>
      </c>
      <c r="AG55" s="8">
        <f>'Monthly Budget'!$D$46*'Employee Payroll'!$D$44</f>
        <v>22.4</v>
      </c>
      <c r="AH55" s="8">
        <f>'Monthly Budget'!$D$46*'Employee Payroll'!$D$44</f>
        <v>22.4</v>
      </c>
      <c r="AI55" s="8">
        <f>'Monthly Budget'!$D$46*'Employee Payroll'!$D$44</f>
        <v>22.4</v>
      </c>
      <c r="AJ55" s="8">
        <f>'Monthly Budget'!$D$46*'Employee Payroll'!$D$44</f>
        <v>22.4</v>
      </c>
      <c r="AK55" s="8">
        <f>'Monthly Budget'!$D$46*'Employee Payroll'!$D$44</f>
        <v>22.4</v>
      </c>
      <c r="AL55" s="8">
        <f>'Monthly Budget'!$D$46*'Employee Payroll'!$D$44</f>
        <v>22.4</v>
      </c>
      <c r="AM55" s="8">
        <f>'Monthly Budget'!$D$46*'Employee Payroll'!$D$44</f>
        <v>22.4</v>
      </c>
      <c r="AN55" s="2"/>
      <c r="AO55" s="2"/>
      <c r="AP55" s="2"/>
      <c r="AQ55" s="2"/>
      <c r="AR55" s="2"/>
      <c r="AS55" s="2"/>
    </row>
    <row r="56" ht="15.75" customHeight="1">
      <c r="A56" s="1"/>
      <c r="B56" s="1"/>
      <c r="C56" s="2" t="s">
        <v>44</v>
      </c>
      <c r="D56" s="8">
        <v>0.0</v>
      </c>
      <c r="E56" s="8">
        <v>0.0</v>
      </c>
      <c r="F56" s="8">
        <v>0.0</v>
      </c>
      <c r="G56" s="8">
        <v>0.0</v>
      </c>
      <c r="H56" s="8">
        <f>'Monthly Budget'!$D$47*2</f>
        <v>1.44</v>
      </c>
      <c r="I56" s="8">
        <f>'Monthly Budget'!$D$47*2</f>
        <v>1.44</v>
      </c>
      <c r="J56" s="8">
        <f>'Monthly Budget'!$D$47*4</f>
        <v>2.88</v>
      </c>
      <c r="K56" s="8">
        <f>'Monthly Budget'!$D$47*4</f>
        <v>2.88</v>
      </c>
      <c r="L56" s="8">
        <f>'Monthly Budget'!$D$47*4</f>
        <v>2.88</v>
      </c>
      <c r="M56" s="8">
        <f>'Monthly Budget'!$D$47*4</f>
        <v>2.88</v>
      </c>
      <c r="N56" s="8">
        <f>'Monthly Budget'!$D$47*4</f>
        <v>2.88</v>
      </c>
      <c r="O56" s="8">
        <f>'Monthly Budget'!$D$47*4</f>
        <v>2.88</v>
      </c>
      <c r="P56" s="8">
        <f>'Monthly Budget'!$D$47*'Employee Payroll'!$C$44</f>
        <v>7.2</v>
      </c>
      <c r="Q56" s="8">
        <f>'Monthly Budget'!$D$47*'Employee Payroll'!$C$44</f>
        <v>7.2</v>
      </c>
      <c r="R56" s="8">
        <f>'Monthly Budget'!$D$47*'Employee Payroll'!$C$44</f>
        <v>7.2</v>
      </c>
      <c r="S56" s="8">
        <f>'Monthly Budget'!$D$47*'Employee Payroll'!$C$44</f>
        <v>7.2</v>
      </c>
      <c r="T56" s="8">
        <f>'Monthly Budget'!$D$47*'Employee Payroll'!$C$44</f>
        <v>7.2</v>
      </c>
      <c r="U56" s="8">
        <f>'Monthly Budget'!$D$47*'Employee Payroll'!$C$44</f>
        <v>7.2</v>
      </c>
      <c r="V56" s="8">
        <f>'Monthly Budget'!$D$47*'Employee Payroll'!$C$44</f>
        <v>7.2</v>
      </c>
      <c r="W56" s="8">
        <f>'Monthly Budget'!$D$47*'Employee Payroll'!$C$44</f>
        <v>7.2</v>
      </c>
      <c r="X56" s="8">
        <f>'Monthly Budget'!$D$47*'Employee Payroll'!$C$44</f>
        <v>7.2</v>
      </c>
      <c r="Y56" s="8">
        <f>'Monthly Budget'!$D$47*'Employee Payroll'!$C$44</f>
        <v>7.2</v>
      </c>
      <c r="Z56" s="8">
        <f>'Monthly Budget'!$D$47*'Employee Payroll'!$C$44</f>
        <v>7.2</v>
      </c>
      <c r="AA56" s="8">
        <f>'Monthly Budget'!$D$47*'Employee Payroll'!$C$44</f>
        <v>7.2</v>
      </c>
      <c r="AB56" s="8">
        <f>'Monthly Budget'!$D$47*'Employee Payroll'!$D$44</f>
        <v>11.52</v>
      </c>
      <c r="AC56" s="8">
        <f>'Monthly Budget'!$D$47*'Employee Payroll'!$D$44</f>
        <v>11.52</v>
      </c>
      <c r="AD56" s="8">
        <f>'Monthly Budget'!$D$47*'Employee Payroll'!$D$44</f>
        <v>11.52</v>
      </c>
      <c r="AE56" s="8">
        <f>'Monthly Budget'!$D$47*'Employee Payroll'!$D$44</f>
        <v>11.52</v>
      </c>
      <c r="AF56" s="8">
        <f>'Monthly Budget'!$D$47*'Employee Payroll'!$D$44</f>
        <v>11.52</v>
      </c>
      <c r="AG56" s="8">
        <f>'Monthly Budget'!$D$47*'Employee Payroll'!$D$44</f>
        <v>11.52</v>
      </c>
      <c r="AH56" s="8">
        <f>'Monthly Budget'!$D$47*'Employee Payroll'!$D$44</f>
        <v>11.52</v>
      </c>
      <c r="AI56" s="8">
        <f>'Monthly Budget'!$D$47*'Employee Payroll'!$D$44</f>
        <v>11.52</v>
      </c>
      <c r="AJ56" s="8">
        <f>'Monthly Budget'!$D$47*'Employee Payroll'!$D$44</f>
        <v>11.52</v>
      </c>
      <c r="AK56" s="8">
        <f>'Monthly Budget'!$D$47*'Employee Payroll'!$D$44</f>
        <v>11.52</v>
      </c>
      <c r="AL56" s="8">
        <f>'Monthly Budget'!$D$47*'Employee Payroll'!$D$44</f>
        <v>11.52</v>
      </c>
      <c r="AM56" s="8">
        <f>'Monthly Budget'!$D$47*'Employee Payroll'!$D$44</f>
        <v>11.52</v>
      </c>
      <c r="AN56" s="2"/>
      <c r="AO56" s="2"/>
      <c r="AP56" s="2"/>
      <c r="AQ56" s="2"/>
      <c r="AR56" s="2"/>
      <c r="AS56" s="2"/>
    </row>
    <row r="57" ht="15.75" customHeight="1">
      <c r="A57" s="1"/>
      <c r="B57" s="1"/>
      <c r="C57" s="2"/>
      <c r="D57" s="2"/>
      <c r="E57" s="2"/>
      <c r="F57" s="2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2"/>
      <c r="AO57" s="2"/>
      <c r="AP57" s="2"/>
      <c r="AQ57" s="2"/>
      <c r="AR57" s="2"/>
      <c r="AS57" s="2"/>
    </row>
    <row r="58" ht="15.75" customHeight="1">
      <c r="A58" s="1" t="s">
        <v>63</v>
      </c>
      <c r="B58" s="1"/>
      <c r="C58" s="2"/>
      <c r="D58" s="8">
        <f t="shared" ref="D58:AM58" si="11">D17+D23+D24+D28+D31+D32+D33+D34+D37+D40+D43+D44+D47+D50+D51+D54+D55+D56</f>
        <v>14004.84167</v>
      </c>
      <c r="E58" s="8">
        <f t="shared" si="11"/>
        <v>3754.841667</v>
      </c>
      <c r="F58" s="8">
        <f t="shared" si="11"/>
        <v>3824.841667</v>
      </c>
      <c r="G58" s="8">
        <f t="shared" si="11"/>
        <v>14324.84167</v>
      </c>
      <c r="H58" s="8">
        <f t="shared" si="11"/>
        <v>68393.915</v>
      </c>
      <c r="I58" s="8">
        <f t="shared" si="11"/>
        <v>62902.915</v>
      </c>
      <c r="J58" s="8">
        <f t="shared" si="11"/>
        <v>36312.98833</v>
      </c>
      <c r="K58" s="8">
        <f t="shared" si="11"/>
        <v>43823.78833</v>
      </c>
      <c r="L58" s="8">
        <f t="shared" si="11"/>
        <v>50882.12167</v>
      </c>
      <c r="M58" s="8">
        <f t="shared" si="11"/>
        <v>77215.455</v>
      </c>
      <c r="N58" s="8">
        <f t="shared" si="11"/>
        <v>77516.455</v>
      </c>
      <c r="O58" s="8">
        <f t="shared" si="11"/>
        <v>77516.455</v>
      </c>
      <c r="P58" s="8">
        <f t="shared" si="11"/>
        <v>86154.08214</v>
      </c>
      <c r="Q58" s="8">
        <f t="shared" si="11"/>
        <v>83154.08214</v>
      </c>
      <c r="R58" s="8">
        <f t="shared" si="11"/>
        <v>227273.5994</v>
      </c>
      <c r="S58" s="8">
        <f t="shared" si="11"/>
        <v>227273.5994</v>
      </c>
      <c r="T58" s="8">
        <f t="shared" si="11"/>
        <v>86154.08214</v>
      </c>
      <c r="U58" s="8">
        <f t="shared" si="11"/>
        <v>86154.08214</v>
      </c>
      <c r="V58" s="8">
        <f t="shared" si="11"/>
        <v>86154.08214</v>
      </c>
      <c r="W58" s="8">
        <f t="shared" si="11"/>
        <v>86154.08214</v>
      </c>
      <c r="X58" s="8">
        <f t="shared" si="11"/>
        <v>129820.7488</v>
      </c>
      <c r="Y58" s="8">
        <f t="shared" si="11"/>
        <v>254408.3488</v>
      </c>
      <c r="Z58" s="8">
        <f t="shared" si="11"/>
        <v>254408.3488</v>
      </c>
      <c r="AA58" s="8">
        <f t="shared" si="11"/>
        <v>257408.3488</v>
      </c>
      <c r="AB58" s="8">
        <f t="shared" si="11"/>
        <v>274172.119</v>
      </c>
      <c r="AC58" s="8">
        <f t="shared" si="11"/>
        <v>149584.519</v>
      </c>
      <c r="AD58" s="8">
        <f t="shared" si="11"/>
        <v>149584.519</v>
      </c>
      <c r="AE58" s="8">
        <f t="shared" si="11"/>
        <v>146584.519</v>
      </c>
      <c r="AF58" s="8">
        <f t="shared" si="11"/>
        <v>146584.519</v>
      </c>
      <c r="AG58" s="8">
        <f t="shared" si="11"/>
        <v>146584.519</v>
      </c>
      <c r="AH58" s="8">
        <f t="shared" si="11"/>
        <v>146584.519</v>
      </c>
      <c r="AI58" s="8">
        <f t="shared" si="11"/>
        <v>149584.519</v>
      </c>
      <c r="AJ58" s="8">
        <f t="shared" si="11"/>
        <v>172917.8523</v>
      </c>
      <c r="AK58" s="8">
        <f t="shared" si="11"/>
        <v>172917.8523</v>
      </c>
      <c r="AL58" s="8">
        <f t="shared" si="11"/>
        <v>172917.8523</v>
      </c>
      <c r="AM58" s="8">
        <f t="shared" si="11"/>
        <v>169917.8523</v>
      </c>
      <c r="AN58" s="2"/>
      <c r="AO58" s="2"/>
      <c r="AP58" s="2"/>
      <c r="AQ58" s="2"/>
      <c r="AR58" s="2"/>
      <c r="AS58" s="2"/>
    </row>
    <row r="59" ht="15.75" customHeight="1">
      <c r="A59" s="1"/>
      <c r="B59" s="1"/>
      <c r="C59" s="2"/>
      <c r="D59" s="2"/>
      <c r="E59" s="2"/>
      <c r="F59" s="2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2"/>
      <c r="AO59" s="2"/>
      <c r="AP59" s="2"/>
      <c r="AQ59" s="2"/>
      <c r="AR59" s="2"/>
      <c r="AS59" s="2"/>
    </row>
    <row r="60" ht="15.75" customHeight="1">
      <c r="A60" s="1"/>
      <c r="B60" s="1" t="s">
        <v>64</v>
      </c>
      <c r="C60" s="2"/>
      <c r="D60" s="8">
        <f t="shared" ref="D60:AM60" si="12">D6-D58</f>
        <v>-14004.84167</v>
      </c>
      <c r="E60" s="8">
        <f t="shared" si="12"/>
        <v>-3754.841667</v>
      </c>
      <c r="F60" s="8">
        <f t="shared" si="12"/>
        <v>-3824.841667</v>
      </c>
      <c r="G60" s="8">
        <f t="shared" si="12"/>
        <v>-14324.84167</v>
      </c>
      <c r="H60" s="8">
        <f t="shared" si="12"/>
        <v>-68393.915</v>
      </c>
      <c r="I60" s="8">
        <f t="shared" si="12"/>
        <v>-62902.915</v>
      </c>
      <c r="J60" s="8">
        <f t="shared" si="12"/>
        <v>-36312.98833</v>
      </c>
      <c r="K60" s="8">
        <f t="shared" si="12"/>
        <v>-43823.78833</v>
      </c>
      <c r="L60" s="8">
        <f t="shared" si="12"/>
        <v>-35388.78833</v>
      </c>
      <c r="M60" s="8">
        <f t="shared" si="12"/>
        <v>-21608.43746</v>
      </c>
      <c r="N60" s="8">
        <f t="shared" si="12"/>
        <v>-18820.1587</v>
      </c>
      <c r="O60" s="8">
        <f t="shared" si="12"/>
        <v>-16026.25892</v>
      </c>
      <c r="P60" s="8">
        <f t="shared" si="12"/>
        <v>-26654.08214</v>
      </c>
      <c r="Q60" s="8">
        <f t="shared" si="12"/>
        <v>-19687.41547</v>
      </c>
      <c r="R60" s="8">
        <f t="shared" si="12"/>
        <v>-163806.9327</v>
      </c>
      <c r="S60" s="8">
        <f t="shared" si="12"/>
        <v>-163806.9327</v>
      </c>
      <c r="T60" s="8">
        <f t="shared" si="12"/>
        <v>-22687.41547</v>
      </c>
      <c r="U60" s="8">
        <f t="shared" si="12"/>
        <v>-22687.41547</v>
      </c>
      <c r="V60" s="8">
        <f t="shared" si="12"/>
        <v>-22687.41547</v>
      </c>
      <c r="W60" s="8">
        <f t="shared" si="12"/>
        <v>-22687.41547</v>
      </c>
      <c r="X60" s="8">
        <f t="shared" si="12"/>
        <v>33201.47342</v>
      </c>
      <c r="Y60" s="8">
        <f t="shared" si="12"/>
        <v>-91386.12659</v>
      </c>
      <c r="Z60" s="8">
        <f t="shared" si="12"/>
        <v>-91386.12659</v>
      </c>
      <c r="AA60" s="8">
        <f t="shared" si="12"/>
        <v>-94386.12659</v>
      </c>
      <c r="AB60" s="8">
        <f t="shared" si="12"/>
        <v>-123594.3412</v>
      </c>
      <c r="AC60" s="8">
        <f t="shared" si="12"/>
        <v>993.2587778</v>
      </c>
      <c r="AD60" s="8">
        <f t="shared" si="12"/>
        <v>993.2587778</v>
      </c>
      <c r="AE60" s="8">
        <f t="shared" si="12"/>
        <v>3993.258778</v>
      </c>
      <c r="AF60" s="8">
        <f t="shared" si="12"/>
        <v>3993.258778</v>
      </c>
      <c r="AG60" s="8">
        <f t="shared" si="12"/>
        <v>3993.258778</v>
      </c>
      <c r="AH60" s="8">
        <f t="shared" si="12"/>
        <v>3993.258778</v>
      </c>
      <c r="AI60" s="8">
        <f t="shared" si="12"/>
        <v>993.2587778</v>
      </c>
      <c r="AJ60" s="8">
        <f t="shared" si="12"/>
        <v>27437.70322</v>
      </c>
      <c r="AK60" s="8">
        <f t="shared" si="12"/>
        <v>27437.70322</v>
      </c>
      <c r="AL60" s="8">
        <f t="shared" si="12"/>
        <v>27437.70322</v>
      </c>
      <c r="AM60" s="8">
        <f t="shared" si="12"/>
        <v>30437.70322</v>
      </c>
      <c r="AN60" s="2"/>
      <c r="AO60" s="2"/>
      <c r="AP60" s="2"/>
      <c r="AQ60" s="2"/>
      <c r="AR60" s="2"/>
      <c r="AS60" s="2"/>
    </row>
    <row r="61" ht="15.75" customHeight="1">
      <c r="A61" s="2"/>
      <c r="B61" s="2" t="s">
        <v>65</v>
      </c>
      <c r="C61" s="2"/>
      <c r="D61" s="8">
        <v>0.0</v>
      </c>
      <c r="E61" s="8">
        <v>0.0</v>
      </c>
      <c r="F61" s="8">
        <v>0.0</v>
      </c>
      <c r="G61" s="8">
        <v>0.0</v>
      </c>
      <c r="H61" s="8">
        <v>0.0</v>
      </c>
      <c r="I61" s="8">
        <v>0.0</v>
      </c>
      <c r="J61" s="14" t="str">
        <f t="shared" ref="J61:AM61" si="13">J60/J6</f>
        <v>#DIV/0!</v>
      </c>
      <c r="K61" s="14" t="str">
        <f t="shared" si="13"/>
        <v>#DIV/0!</v>
      </c>
      <c r="L61" s="14">
        <f t="shared" si="13"/>
        <v>-2.284130056</v>
      </c>
      <c r="M61" s="14">
        <f t="shared" si="13"/>
        <v>-0.3885919154</v>
      </c>
      <c r="N61" s="14">
        <f t="shared" si="13"/>
        <v>-0.3206362222</v>
      </c>
      <c r="O61" s="14">
        <f t="shared" si="13"/>
        <v>-0.260631124</v>
      </c>
      <c r="P61" s="14">
        <f t="shared" si="13"/>
        <v>-0.447967767</v>
      </c>
      <c r="Q61" s="14">
        <f t="shared" si="13"/>
        <v>-0.310200874</v>
      </c>
      <c r="R61" s="14">
        <f t="shared" si="13"/>
        <v>-2.580991587</v>
      </c>
      <c r="S61" s="14">
        <f t="shared" si="13"/>
        <v>-2.580991587</v>
      </c>
      <c r="T61" s="14">
        <f t="shared" si="13"/>
        <v>-0.3574697816</v>
      </c>
      <c r="U61" s="14">
        <f t="shared" si="13"/>
        <v>-0.3574697816</v>
      </c>
      <c r="V61" s="14">
        <f t="shared" si="13"/>
        <v>-0.3574697816</v>
      </c>
      <c r="W61" s="14">
        <f t="shared" si="13"/>
        <v>-0.3574697816</v>
      </c>
      <c r="X61" s="14">
        <f t="shared" si="13"/>
        <v>0.2036622552</v>
      </c>
      <c r="Y61" s="14">
        <f t="shared" si="13"/>
        <v>-0.5605746587</v>
      </c>
      <c r="Z61" s="14">
        <f t="shared" si="13"/>
        <v>-0.5605746587</v>
      </c>
      <c r="AA61" s="14">
        <f t="shared" si="13"/>
        <v>-0.5789770578</v>
      </c>
      <c r="AB61" s="14">
        <f t="shared" si="13"/>
        <v>-0.8208006723</v>
      </c>
      <c r="AC61" s="14">
        <f t="shared" si="13"/>
        <v>0.006596317149</v>
      </c>
      <c r="AD61" s="14">
        <f t="shared" si="13"/>
        <v>0.006596317149</v>
      </c>
      <c r="AE61" s="14">
        <f t="shared" si="13"/>
        <v>0.02651957571</v>
      </c>
      <c r="AF61" s="14">
        <f t="shared" si="13"/>
        <v>0.02651957571</v>
      </c>
      <c r="AG61" s="14">
        <f t="shared" si="13"/>
        <v>0.02651957571</v>
      </c>
      <c r="AH61" s="14">
        <f t="shared" si="13"/>
        <v>0.02651957571</v>
      </c>
      <c r="AI61" s="14">
        <f t="shared" si="13"/>
        <v>0.006596317149</v>
      </c>
      <c r="AJ61" s="14">
        <f t="shared" si="13"/>
        <v>0.1369450582</v>
      </c>
      <c r="AK61" s="14">
        <f t="shared" si="13"/>
        <v>0.1369450582</v>
      </c>
      <c r="AL61" s="14">
        <f t="shared" si="13"/>
        <v>0.1369450582</v>
      </c>
      <c r="AM61" s="14">
        <f t="shared" si="13"/>
        <v>0.1519184389</v>
      </c>
      <c r="AN61" s="2"/>
      <c r="AO61" s="2"/>
      <c r="AP61" s="2"/>
      <c r="AQ61" s="2"/>
      <c r="AR61" s="2"/>
      <c r="AS61" s="2"/>
    </row>
    <row r="62" ht="15.75" customHeight="1">
      <c r="A62" s="1"/>
      <c r="B62" s="2" t="s">
        <v>76</v>
      </c>
      <c r="C62" s="2"/>
      <c r="D62" s="8">
        <f t="shared" ref="D62:AM62" si="14">D58</f>
        <v>14004.84167</v>
      </c>
      <c r="E62" s="8">
        <f t="shared" si="14"/>
        <v>3754.841667</v>
      </c>
      <c r="F62" s="8">
        <f t="shared" si="14"/>
        <v>3824.841667</v>
      </c>
      <c r="G62" s="8">
        <f t="shared" si="14"/>
        <v>14324.84167</v>
      </c>
      <c r="H62" s="8">
        <f t="shared" si="14"/>
        <v>68393.915</v>
      </c>
      <c r="I62" s="8">
        <f t="shared" si="14"/>
        <v>62902.915</v>
      </c>
      <c r="J62" s="8">
        <f t="shared" si="14"/>
        <v>36312.98833</v>
      </c>
      <c r="K62" s="8">
        <f t="shared" si="14"/>
        <v>43823.78833</v>
      </c>
      <c r="L62" s="8">
        <f t="shared" si="14"/>
        <v>50882.12167</v>
      </c>
      <c r="M62" s="8">
        <f t="shared" si="14"/>
        <v>77215.455</v>
      </c>
      <c r="N62" s="8">
        <f t="shared" si="14"/>
        <v>77516.455</v>
      </c>
      <c r="O62" s="8">
        <f t="shared" si="14"/>
        <v>77516.455</v>
      </c>
      <c r="P62" s="8">
        <f t="shared" si="14"/>
        <v>86154.08214</v>
      </c>
      <c r="Q62" s="8">
        <f t="shared" si="14"/>
        <v>83154.08214</v>
      </c>
      <c r="R62" s="8">
        <f t="shared" si="14"/>
        <v>227273.5994</v>
      </c>
      <c r="S62" s="8">
        <f t="shared" si="14"/>
        <v>227273.5994</v>
      </c>
      <c r="T62" s="8">
        <f t="shared" si="14"/>
        <v>86154.08214</v>
      </c>
      <c r="U62" s="8">
        <f t="shared" si="14"/>
        <v>86154.08214</v>
      </c>
      <c r="V62" s="8">
        <f t="shared" si="14"/>
        <v>86154.08214</v>
      </c>
      <c r="W62" s="8">
        <f t="shared" si="14"/>
        <v>86154.08214</v>
      </c>
      <c r="X62" s="8">
        <f t="shared" si="14"/>
        <v>129820.7488</v>
      </c>
      <c r="Y62" s="8">
        <f t="shared" si="14"/>
        <v>254408.3488</v>
      </c>
      <c r="Z62" s="8">
        <f t="shared" si="14"/>
        <v>254408.3488</v>
      </c>
      <c r="AA62" s="8">
        <f t="shared" si="14"/>
        <v>257408.3488</v>
      </c>
      <c r="AB62" s="8">
        <f t="shared" si="14"/>
        <v>274172.119</v>
      </c>
      <c r="AC62" s="8">
        <f t="shared" si="14"/>
        <v>149584.519</v>
      </c>
      <c r="AD62" s="8">
        <f t="shared" si="14"/>
        <v>149584.519</v>
      </c>
      <c r="AE62" s="8">
        <f t="shared" si="14"/>
        <v>146584.519</v>
      </c>
      <c r="AF62" s="8">
        <f t="shared" si="14"/>
        <v>146584.519</v>
      </c>
      <c r="AG62" s="8">
        <f t="shared" si="14"/>
        <v>146584.519</v>
      </c>
      <c r="AH62" s="8">
        <f t="shared" si="14"/>
        <v>146584.519</v>
      </c>
      <c r="AI62" s="8">
        <f t="shared" si="14"/>
        <v>149584.519</v>
      </c>
      <c r="AJ62" s="8">
        <f t="shared" si="14"/>
        <v>172917.8523</v>
      </c>
      <c r="AK62" s="8">
        <f t="shared" si="14"/>
        <v>172917.8523</v>
      </c>
      <c r="AL62" s="8">
        <f t="shared" si="14"/>
        <v>172917.8523</v>
      </c>
      <c r="AM62" s="8">
        <f t="shared" si="14"/>
        <v>169917.8523</v>
      </c>
      <c r="AN62" s="2"/>
      <c r="AO62" s="2"/>
      <c r="AP62" s="2"/>
      <c r="AQ62" s="2"/>
      <c r="AR62" s="2"/>
      <c r="AS62" s="2"/>
    </row>
    <row r="63" ht="15.75" customHeight="1">
      <c r="A63" s="2"/>
      <c r="B63" s="1" t="s">
        <v>77</v>
      </c>
      <c r="C63" s="2"/>
      <c r="D63" s="2"/>
      <c r="E63" s="2"/>
      <c r="F63" s="2"/>
      <c r="G63" s="8"/>
      <c r="H63" s="8"/>
      <c r="I63" s="8"/>
      <c r="J63" s="8"/>
      <c r="K63" s="8"/>
      <c r="L63" s="8"/>
      <c r="M63" s="8"/>
      <c r="N63" s="12"/>
      <c r="O63" s="12">
        <f>sum(D6:O6)</f>
        <v>191286.8433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12"/>
      <c r="AA63" s="12">
        <f>sum(P6:AA6)</f>
        <v>1155855.556</v>
      </c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12">
        <f>sum(AB6:AM6)</f>
        <v>2006044.444</v>
      </c>
      <c r="AN63" s="2"/>
      <c r="AO63" s="2"/>
      <c r="AP63" s="2"/>
      <c r="AQ63" s="2"/>
      <c r="AR63" s="2"/>
      <c r="AS63" s="2"/>
    </row>
    <row r="64" ht="15.75" customHeight="1">
      <c r="A64" s="2"/>
      <c r="B64" s="1" t="s">
        <v>78</v>
      </c>
      <c r="C64" s="2"/>
      <c r="D64" s="2"/>
      <c r="E64" s="2"/>
      <c r="F64" s="2"/>
      <c r="G64" s="8"/>
      <c r="H64" s="8"/>
      <c r="I64" s="8"/>
      <c r="J64" s="8"/>
      <c r="K64" s="8"/>
      <c r="L64" s="8"/>
      <c r="M64" s="8"/>
      <c r="N64" s="8"/>
      <c r="O64" s="12">
        <f>SUM(D59:O60)</f>
        <v>-339186.6167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12"/>
      <c r="AA64" s="12">
        <f>SUM($P59:$AA60)</f>
        <v>-708661.9313</v>
      </c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12">
        <f>sum(AB59:AM60)</f>
        <v>8109.283106</v>
      </c>
      <c r="AN64" s="2"/>
      <c r="AO64" s="2"/>
      <c r="AP64" s="2"/>
      <c r="AQ64" s="2"/>
      <c r="AR64" s="2"/>
      <c r="AS64" s="2"/>
    </row>
    <row r="65" ht="15.75" customHeight="1">
      <c r="A65" s="2"/>
      <c r="B65" s="1" t="s">
        <v>79</v>
      </c>
      <c r="C65" s="2"/>
      <c r="D65" s="2"/>
      <c r="E65" s="2"/>
      <c r="F65" s="2"/>
      <c r="G65" s="8"/>
      <c r="H65" s="8"/>
      <c r="I65" s="8"/>
      <c r="J65" s="8"/>
      <c r="K65" s="8"/>
      <c r="L65" s="8"/>
      <c r="M65" s="8"/>
      <c r="N65" s="8"/>
      <c r="O65" s="12">
        <f>sum(D58:O58)</f>
        <v>530473.46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12">
        <f>sum(Q58:AA58)</f>
        <v>1778363.405</v>
      </c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12">
        <f>sum(AC57:AM58)</f>
        <v>1723763.042</v>
      </c>
      <c r="AN65" s="2"/>
      <c r="AO65" s="2"/>
      <c r="AP65" s="2"/>
      <c r="AQ65" s="2"/>
      <c r="AR65" s="2"/>
      <c r="AS65" s="2"/>
    </row>
    <row r="66" ht="15.75" customHeight="1">
      <c r="A66" s="2"/>
      <c r="B66" s="1" t="s">
        <v>80</v>
      </c>
      <c r="C66" s="2"/>
      <c r="D66" s="2"/>
      <c r="E66" s="2"/>
      <c r="F66" s="2"/>
      <c r="G66" s="8"/>
      <c r="H66" s="8"/>
      <c r="I66" s="8"/>
      <c r="J66" s="8"/>
      <c r="K66" s="8"/>
      <c r="L66" s="8"/>
      <c r="M66" s="8"/>
      <c r="N66" s="8"/>
      <c r="O66" s="16">
        <f>(O63-O65)/O63</f>
        <v>-1.7731832</v>
      </c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16">
        <f>(AA63-AA65)/AA63</f>
        <v>-0.5385688949</v>
      </c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16">
        <f>(AM63-AM65)/AM63</f>
        <v>0.1407154278</v>
      </c>
      <c r="AN66" s="2"/>
      <c r="AO66" s="2"/>
      <c r="AP66" s="2"/>
      <c r="AQ66" s="2"/>
      <c r="AR66" s="2"/>
      <c r="AS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</row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9.89"/>
    <col customWidth="1" min="3" max="3" width="10.0"/>
    <col customWidth="1" min="4" max="4" width="9.78"/>
    <col customWidth="1" min="5" max="5" width="25.89"/>
  </cols>
  <sheetData>
    <row r="1">
      <c r="A1" s="40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>
      <c r="A2" s="41">
        <v>2021.0</v>
      </c>
      <c r="B2" s="41">
        <v>2022.0</v>
      </c>
      <c r="C2" s="41">
        <v>2023.0</v>
      </c>
      <c r="D2" s="41" t="s">
        <v>53</v>
      </c>
      <c r="E2" s="42" t="s">
        <v>83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>
      <c r="A3" s="43">
        <v>800000.0</v>
      </c>
      <c r="B3" s="44">
        <v>1600000.0</v>
      </c>
      <c r="C3" s="44">
        <v>2000000.0</v>
      </c>
      <c r="D3" s="45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>
      <c r="A4" s="4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4.11"/>
    <col customWidth="1" min="2" max="2" width="25.33"/>
    <col customWidth="1" min="3" max="3" width="16.22"/>
    <col customWidth="1" min="4" max="4" width="12.11"/>
    <col customWidth="1" min="5" max="5" width="9.22"/>
    <col customWidth="1" min="6" max="6" width="20.22"/>
    <col customWidth="1" min="7" max="7" width="8.33"/>
    <col customWidth="1" min="8" max="26" width="10.56"/>
  </cols>
  <sheetData>
    <row r="1" ht="15.75" customHeight="1">
      <c r="A1" s="1" t="s">
        <v>84</v>
      </c>
      <c r="B1" s="1" t="s">
        <v>85</v>
      </c>
      <c r="C1" s="1" t="s">
        <v>86</v>
      </c>
      <c r="D1" s="1" t="s">
        <v>87</v>
      </c>
      <c r="E1" s="1" t="s">
        <v>88</v>
      </c>
      <c r="F1" s="1" t="s">
        <v>89</v>
      </c>
      <c r="G1" s="1" t="s">
        <v>90</v>
      </c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ht="15.75" customHeight="1">
      <c r="A2" s="1" t="s">
        <v>27</v>
      </c>
      <c r="B2" s="1"/>
      <c r="C2" s="1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ht="15.75" customHeight="1">
      <c r="A3" s="1"/>
      <c r="B3" s="2" t="s">
        <v>91</v>
      </c>
      <c r="C3" s="2" t="s">
        <v>92</v>
      </c>
      <c r="D3" s="46">
        <v>3000.0</v>
      </c>
      <c r="E3" s="2" t="s">
        <v>93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ht="15.75" customHeight="1">
      <c r="A4" s="1"/>
      <c r="B4" s="2" t="s">
        <v>94</v>
      </c>
      <c r="C4" s="2" t="s">
        <v>95</v>
      </c>
      <c r="D4" s="46">
        <v>200.0</v>
      </c>
      <c r="E4" s="2" t="s">
        <v>96</v>
      </c>
      <c r="F4" s="26" t="s">
        <v>97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ht="15.75" customHeight="1">
      <c r="A5" s="1"/>
      <c r="B5" s="2" t="s">
        <v>98</v>
      </c>
      <c r="C5" s="2" t="s">
        <v>99</v>
      </c>
      <c r="D5" s="46" t="s">
        <v>100</v>
      </c>
      <c r="E5" s="2" t="s">
        <v>96</v>
      </c>
      <c r="F5" s="26" t="s">
        <v>97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ht="15.75" customHeight="1">
      <c r="A6" s="1"/>
      <c r="B6" s="2" t="s">
        <v>101</v>
      </c>
      <c r="C6" s="2" t="s">
        <v>99</v>
      </c>
      <c r="D6" s="46" t="s">
        <v>100</v>
      </c>
      <c r="E6" s="2" t="s">
        <v>96</v>
      </c>
      <c r="F6" s="26" t="s">
        <v>97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ht="15.75" customHeight="1">
      <c r="A7" s="1"/>
      <c r="B7" s="2" t="s">
        <v>102</v>
      </c>
      <c r="C7" s="2" t="s">
        <v>95</v>
      </c>
      <c r="D7" s="46" t="s">
        <v>100</v>
      </c>
      <c r="E7" s="2" t="s">
        <v>96</v>
      </c>
      <c r="F7" s="26" t="s">
        <v>97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ht="15.75" customHeight="1">
      <c r="A8" s="1"/>
      <c r="B8" s="2" t="s">
        <v>103</v>
      </c>
      <c r="C8" s="2" t="s">
        <v>104</v>
      </c>
      <c r="D8" s="46" t="s">
        <v>100</v>
      </c>
      <c r="E8" s="2" t="s">
        <v>96</v>
      </c>
      <c r="F8" s="26" t="s">
        <v>97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ht="15.75" customHeight="1">
      <c r="A9" s="1"/>
      <c r="B9" s="2" t="s">
        <v>105</v>
      </c>
      <c r="C9" s="2" t="s">
        <v>104</v>
      </c>
      <c r="D9" s="46" t="s">
        <v>100</v>
      </c>
      <c r="E9" s="2" t="s">
        <v>96</v>
      </c>
      <c r="F9" s="26" t="s">
        <v>97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ht="15.75" customHeight="1">
      <c r="A10" s="1"/>
      <c r="B10" s="2" t="s">
        <v>106</v>
      </c>
      <c r="C10" s="2" t="s">
        <v>107</v>
      </c>
      <c r="D10" s="46">
        <f>'Prime Labs Estimated Cost'!K6</f>
        <v>86925</v>
      </c>
      <c r="E10" s="2" t="s">
        <v>96</v>
      </c>
      <c r="F10" s="26" t="s">
        <v>108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ht="15.75" customHeight="1">
      <c r="A11" s="1"/>
      <c r="B11" s="2" t="s">
        <v>109</v>
      </c>
      <c r="C11" s="2" t="s">
        <v>110</v>
      </c>
      <c r="D11" s="46">
        <v>370.0</v>
      </c>
      <c r="E11" s="2" t="s">
        <v>93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ht="15.75" customHeight="1">
      <c r="A12" s="1"/>
      <c r="B12" s="2" t="s">
        <v>111</v>
      </c>
      <c r="C12" s="2" t="s">
        <v>112</v>
      </c>
      <c r="D12" s="47">
        <f>('Prime Labs Estimated Cost'!E21/15000)*1360</f>
        <v>15201.11369</v>
      </c>
      <c r="E12" s="2" t="s">
        <v>93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ht="15.75" customHeight="1">
      <c r="A13" s="1"/>
      <c r="B13" s="2" t="s">
        <v>113</v>
      </c>
      <c r="C13" s="2" t="s">
        <v>112</v>
      </c>
      <c r="D13" s="47">
        <f>'Prime Labs Estimated Cost'!E21*0.2</f>
        <v>33531.86843</v>
      </c>
      <c r="E13" s="2" t="s">
        <v>96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ht="15.75" customHeight="1">
      <c r="A14" s="1"/>
      <c r="B14" s="1" t="s">
        <v>114</v>
      </c>
      <c r="C14" s="1"/>
      <c r="D14" s="48">
        <f>(average('BLENDED 3 Year Monthly Projecti'!D21:AM21))-D3-D4-D10-D11-D12-D13</f>
        <v>-111811.9263</v>
      </c>
      <c r="E14" s="2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ht="15.75" customHeight="1">
      <c r="A15" s="1"/>
      <c r="B15" s="1"/>
      <c r="C15" s="1"/>
      <c r="D15" s="47"/>
      <c r="E15" s="2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ht="15.75" customHeight="1">
      <c r="A16" s="1" t="s">
        <v>115</v>
      </c>
      <c r="B16" s="1"/>
      <c r="C16" s="1"/>
      <c r="D16" s="47"/>
      <c r="E16" s="2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ht="15.75" customHeight="1">
      <c r="A17" s="1"/>
      <c r="B17" s="2" t="s">
        <v>116</v>
      </c>
      <c r="C17" s="2" t="s">
        <v>117</v>
      </c>
      <c r="D17" s="47" t="s">
        <v>100</v>
      </c>
      <c r="E17" s="2" t="s">
        <v>96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ht="15.75" customHeight="1">
      <c r="A18" s="1"/>
      <c r="B18" s="2" t="s">
        <v>118</v>
      </c>
      <c r="C18" s="2" t="s">
        <v>119</v>
      </c>
      <c r="D18" s="46">
        <v>11000.0</v>
      </c>
      <c r="E18" s="2" t="s">
        <v>96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ht="15.75" customHeight="1">
      <c r="A19" s="1"/>
      <c r="B19" s="2" t="s">
        <v>120</v>
      </c>
      <c r="C19" s="2" t="s">
        <v>121</v>
      </c>
      <c r="D19" s="46">
        <v>27250.0</v>
      </c>
      <c r="E19" s="2" t="s">
        <v>96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ht="15.75" customHeight="1">
      <c r="A20" s="1"/>
      <c r="B20" s="2" t="s">
        <v>122</v>
      </c>
      <c r="C20" s="2" t="s">
        <v>117</v>
      </c>
      <c r="D20" s="46">
        <v>3000.0</v>
      </c>
      <c r="E20" s="2" t="s">
        <v>96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ht="15.75" customHeight="1">
      <c r="A21" s="1"/>
      <c r="B21" s="2" t="s">
        <v>123</v>
      </c>
      <c r="C21" s="2" t="s">
        <v>124</v>
      </c>
      <c r="D21" s="46">
        <v>5000.0</v>
      </c>
      <c r="E21" s="2" t="s">
        <v>93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ht="15.75" customHeight="1">
      <c r="A22" s="1"/>
      <c r="B22" s="2" t="s">
        <v>125</v>
      </c>
      <c r="C22" s="2" t="s">
        <v>124</v>
      </c>
      <c r="D22" s="46">
        <v>4500.0</v>
      </c>
      <c r="E22" s="2" t="s">
        <v>93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ht="15.75" customHeight="1">
      <c r="A23" s="1"/>
      <c r="B23" s="2" t="s">
        <v>126</v>
      </c>
      <c r="C23" s="2" t="s">
        <v>124</v>
      </c>
      <c r="D23" s="46">
        <v>3000.0</v>
      </c>
      <c r="E23" s="2" t="s">
        <v>93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ht="15.75" customHeight="1">
      <c r="A24" s="1"/>
      <c r="B24" s="2" t="s">
        <v>127</v>
      </c>
      <c r="C24" s="2" t="s">
        <v>124</v>
      </c>
      <c r="D24" s="46">
        <v>6000.0</v>
      </c>
      <c r="E24" s="2" t="s">
        <v>93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ht="15.75" customHeight="1">
      <c r="A25" s="1"/>
      <c r="B25" s="2" t="s">
        <v>73</v>
      </c>
      <c r="C25" s="2" t="s">
        <v>128</v>
      </c>
      <c r="D25" s="46">
        <v>500.0</v>
      </c>
      <c r="E25" s="2" t="s">
        <v>93</v>
      </c>
      <c r="F25" s="49" t="s">
        <v>129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ht="15.75" customHeight="1">
      <c r="A26" s="1"/>
      <c r="B26" s="1" t="s">
        <v>114</v>
      </c>
      <c r="C26" s="1"/>
      <c r="D26" s="46">
        <f>average('BLENDED 3 Year Monthly Projecti'!D31:AM38)-D18-D19-D20-D21-D22-D23-D24-D25</f>
        <v>-43979.16667</v>
      </c>
      <c r="E26" s="50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ht="15.75" customHeight="1">
      <c r="A27" s="1"/>
      <c r="B27" s="1"/>
      <c r="C27" s="1"/>
      <c r="D27" s="4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ht="15.75" customHeight="1">
      <c r="A28" s="1" t="s">
        <v>130</v>
      </c>
      <c r="B28" s="1"/>
      <c r="C28" s="1"/>
      <c r="D28" s="4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ht="15.75" customHeight="1">
      <c r="A29" s="1"/>
      <c r="B29" s="1" t="s">
        <v>114</v>
      </c>
      <c r="C29" s="1"/>
      <c r="D29" s="4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ht="15.75" customHeight="1">
      <c r="A30" s="1"/>
      <c r="B30" s="2"/>
      <c r="C30" s="26"/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ht="15.75" customHeight="1">
      <c r="A31" s="1" t="s">
        <v>56</v>
      </c>
      <c r="B31" s="2"/>
      <c r="C31" s="26"/>
      <c r="D31" s="4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ht="15.75" customHeight="1">
      <c r="A32" s="1"/>
      <c r="B32" s="2" t="s">
        <v>39</v>
      </c>
      <c r="C32" s="26" t="s">
        <v>131</v>
      </c>
      <c r="D32" s="46">
        <v>20000.0</v>
      </c>
      <c r="E32" s="26" t="s">
        <v>96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ht="15.75" customHeight="1">
      <c r="A33" s="1"/>
      <c r="B33" s="2" t="s">
        <v>40</v>
      </c>
      <c r="C33" s="26" t="s">
        <v>132</v>
      </c>
      <c r="D33" s="46">
        <v>70.0</v>
      </c>
      <c r="E33" s="26" t="s">
        <v>93</v>
      </c>
      <c r="F33" s="49" t="s">
        <v>133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ht="15.75" customHeight="1">
      <c r="A34" s="1"/>
      <c r="B34" s="1" t="s">
        <v>114</v>
      </c>
      <c r="C34" s="26"/>
      <c r="D34" s="46">
        <f>(average('BLENDED 3 Year Monthly Projecti'!D47:AM48))-D32-D33</f>
        <v>-17867.77778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ht="15.75" customHeight="1">
      <c r="A35" s="1"/>
      <c r="B35" s="2"/>
      <c r="C35" s="26"/>
      <c r="D35" s="4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ht="15.75" customHeight="1">
      <c r="A36" s="1" t="s">
        <v>57</v>
      </c>
      <c r="B36" s="2"/>
      <c r="C36" s="26"/>
      <c r="D36" s="4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ht="15.75" customHeight="1">
      <c r="A37" s="1"/>
      <c r="B37" s="2" t="s">
        <v>58</v>
      </c>
      <c r="C37" s="26" t="s">
        <v>134</v>
      </c>
      <c r="D37" s="46">
        <v>3000.0</v>
      </c>
      <c r="E37" s="26" t="s">
        <v>93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ht="15.75" customHeight="1">
      <c r="A38" s="1"/>
      <c r="B38" s="1" t="s">
        <v>114</v>
      </c>
      <c r="C38" s="26"/>
      <c r="D38" s="46">
        <f>(average('BLENDED 3 Year Monthly Projecti'!D51:AM51))-D37</f>
        <v>-333.3333333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ht="15.75" customHeight="1">
      <c r="A39" s="1" t="s">
        <v>59</v>
      </c>
      <c r="B39" s="2"/>
      <c r="C39" s="26"/>
      <c r="D39" s="4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ht="15.75" customHeight="1">
      <c r="A40" s="1"/>
      <c r="B40" s="2" t="s">
        <v>60</v>
      </c>
      <c r="C40" s="26"/>
      <c r="D40" s="46">
        <v>1000.0</v>
      </c>
      <c r="E40" s="26" t="s">
        <v>93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ht="15.75" customHeight="1">
      <c r="A41" s="1"/>
      <c r="B41" s="2" t="s">
        <v>61</v>
      </c>
      <c r="C41" s="26"/>
      <c r="D41" s="46">
        <v>100.0</v>
      </c>
      <c r="E41" s="26" t="s">
        <v>93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ht="15.75" customHeight="1">
      <c r="A42" s="1"/>
      <c r="B42" s="1" t="s">
        <v>114</v>
      </c>
      <c r="C42" s="26"/>
      <c r="D42" s="46">
        <f>(average('BLENDED 3 Year Monthly Projecti'!D54:AM55))-D40-D41</f>
        <v>-141.6666667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ht="15.75" customHeight="1">
      <c r="A43" s="1"/>
      <c r="B43" s="2"/>
      <c r="C43" s="26"/>
      <c r="D43" s="4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ht="15.75" customHeight="1">
      <c r="A44" s="1" t="s">
        <v>62</v>
      </c>
      <c r="B44" s="2"/>
      <c r="C44" s="26"/>
      <c r="D44" s="4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ht="15.75" customHeight="1">
      <c r="A45" s="1"/>
      <c r="B45" s="2" t="s">
        <v>135</v>
      </c>
      <c r="C45" s="26"/>
      <c r="D45" s="46">
        <f>200/12</f>
        <v>16.66666667</v>
      </c>
      <c r="E45" s="26" t="s">
        <v>93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ht="15.75" customHeight="1">
      <c r="A46" s="1"/>
      <c r="B46" s="2" t="s">
        <v>136</v>
      </c>
      <c r="C46" s="26"/>
      <c r="D46" s="51">
        <v>1.4</v>
      </c>
      <c r="E46" s="26" t="s">
        <v>93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ht="15.75" customHeight="1">
      <c r="A47" s="1"/>
      <c r="B47" s="2" t="s">
        <v>137</v>
      </c>
      <c r="C47" s="26"/>
      <c r="D47" s="51">
        <f>0.72</f>
        <v>0.72</v>
      </c>
      <c r="E47" s="26" t="s">
        <v>93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ht="15.75" customHeight="1">
      <c r="A48" s="26"/>
      <c r="B48" s="1" t="s">
        <v>114</v>
      </c>
      <c r="C48" s="26"/>
      <c r="D48" s="46">
        <f>(average('BLENDED 3 Year Monthly Projecti'!D58:AM60))-D45-D46-D47</f>
        <v>40.35654321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ht="15.75" customHeight="1">
      <c r="A49" s="26"/>
      <c r="B49" s="26"/>
      <c r="C49" s="26"/>
      <c r="D49" s="4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ht="15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ht="15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ht="15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ht="15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ht="15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ht="15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ht="15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ht="15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ht="15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ht="15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ht="15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ht="15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ht="15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ht="15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ht="15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ht="15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ht="15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ht="15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ht="15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ht="15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ht="15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ht="15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ht="15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ht="15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ht="15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ht="15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ht="15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ht="15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ht="15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ht="15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ht="15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ht="15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ht="15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ht="15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ht="15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ht="15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ht="15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ht="15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ht="15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ht="15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ht="15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ht="15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ht="15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ht="15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ht="15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ht="15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ht="15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ht="15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ht="15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ht="15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ht="15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ht="15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ht="15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ht="15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ht="15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ht="15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ht="15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ht="15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ht="15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ht="15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ht="15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ht="15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ht="15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ht="15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ht="15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ht="15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ht="15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ht="15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ht="15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ht="15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ht="15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ht="15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ht="15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ht="15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ht="15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ht="15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ht="15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ht="15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ht="15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ht="15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ht="15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ht="15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ht="15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ht="15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ht="15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ht="15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ht="15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ht="15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ht="15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ht="15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ht="15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ht="15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ht="15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ht="15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ht="15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ht="15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ht="15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ht="15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ht="15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ht="15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ht="15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ht="15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ht="15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ht="15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ht="15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ht="15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ht="15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ht="15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ht="15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ht="15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ht="15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ht="15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ht="15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ht="15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ht="15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ht="15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ht="15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ht="15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ht="15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ht="15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ht="15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ht="15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ht="15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ht="15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ht="15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ht="15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ht="15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ht="15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ht="15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ht="15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ht="15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ht="15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ht="15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ht="15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ht="15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ht="15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ht="15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ht="15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ht="15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ht="15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ht="15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ht="15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ht="15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ht="15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ht="15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ht="15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ht="15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ht="15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ht="15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ht="15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ht="15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ht="15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ht="15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ht="15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ht="15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ht="15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ht="15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ht="15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ht="15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ht="15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ht="15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ht="15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ht="15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ht="15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ht="15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ht="15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ht="15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ht="15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ht="15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ht="15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ht="15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ht="15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ht="15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ht="15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ht="15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ht="15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ht="15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ht="15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ht="15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ht="15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ht="15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ht="15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ht="15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ht="15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ht="15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ht="15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ht="15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ht="15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ht="15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ht="15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ht="15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ht="15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ht="15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ht="15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ht="15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ht="15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ht="15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ht="15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ht="15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ht="15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ht="15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ht="15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ht="15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ht="15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ht="15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ht="15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ht="15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ht="15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ht="15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ht="15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ht="15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ht="15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ht="15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ht="15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ht="15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ht="15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ht="15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ht="15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ht="15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ht="15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ht="15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ht="15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ht="15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ht="15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ht="15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ht="15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ht="15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ht="15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ht="15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ht="15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ht="15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ht="15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ht="15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ht="15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ht="15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ht="15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ht="15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ht="15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ht="15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ht="15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ht="15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ht="15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ht="15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ht="15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ht="15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ht="15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ht="15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ht="15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ht="15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ht="15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ht="15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ht="15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ht="15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ht="15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ht="15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ht="15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ht="15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ht="15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ht="15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ht="15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ht="15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ht="15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ht="15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ht="15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ht="15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ht="15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ht="15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ht="15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ht="15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ht="15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ht="15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ht="15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ht="15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ht="15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ht="15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ht="15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ht="15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ht="15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ht="15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ht="15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ht="15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ht="15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ht="15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ht="15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ht="15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ht="15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ht="15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ht="15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ht="15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ht="15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ht="15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ht="15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ht="15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ht="15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ht="15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ht="15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ht="15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ht="15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ht="15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ht="15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ht="15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ht="15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ht="15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ht="15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ht="15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ht="15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ht="15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ht="15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ht="15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ht="15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ht="15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ht="15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ht="15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ht="15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ht="15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ht="15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ht="15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ht="15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ht="15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ht="15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ht="15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ht="15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ht="15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ht="15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ht="15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ht="15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ht="15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ht="15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ht="15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ht="15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ht="15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ht="15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ht="15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ht="15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ht="15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ht="15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ht="15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ht="15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ht="15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ht="15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ht="15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ht="15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ht="15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ht="15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ht="15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ht="15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ht="15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ht="15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ht="15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ht="15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ht="15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ht="15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ht="15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ht="15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ht="15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ht="15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ht="15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ht="15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ht="15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ht="15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ht="15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ht="15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ht="15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ht="15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ht="15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ht="15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ht="15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ht="15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ht="15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ht="15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ht="15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ht="15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ht="15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ht="15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ht="15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ht="15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ht="15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ht="15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ht="15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ht="15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ht="15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ht="15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ht="15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ht="15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ht="15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ht="15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ht="15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ht="15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ht="15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ht="15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ht="15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ht="15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ht="15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ht="15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ht="15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ht="15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ht="15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ht="15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ht="15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ht="15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ht="15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ht="15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ht="15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ht="15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ht="15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ht="15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ht="15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ht="15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ht="15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ht="15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ht="15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ht="15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ht="15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ht="15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ht="15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ht="15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ht="15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ht="15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ht="15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ht="15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ht="15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ht="15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ht="15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ht="15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ht="15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ht="15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ht="15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ht="15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ht="15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ht="15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ht="15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ht="15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ht="15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ht="15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ht="15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ht="15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ht="15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ht="15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ht="15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ht="15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ht="15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ht="15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ht="15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ht="15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ht="15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ht="15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ht="15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ht="15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ht="15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ht="15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ht="15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ht="15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ht="15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ht="15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ht="15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ht="15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ht="15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ht="15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ht="15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ht="15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ht="15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ht="15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ht="15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ht="15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ht="15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ht="15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ht="15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ht="15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ht="15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ht="15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ht="15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ht="15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ht="15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ht="15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ht="15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ht="15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ht="15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ht="15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ht="15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ht="15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ht="15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ht="15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ht="15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ht="15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ht="15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ht="15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ht="15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ht="15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ht="15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ht="15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ht="15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ht="15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ht="15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ht="15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ht="15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ht="15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ht="15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ht="15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ht="15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ht="15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ht="15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ht="15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ht="15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ht="15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ht="15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ht="15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ht="15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ht="15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ht="15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ht="15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ht="15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ht="15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ht="15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ht="15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ht="15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ht="15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ht="15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ht="15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ht="15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ht="15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ht="15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ht="15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ht="15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ht="15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ht="15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ht="15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ht="15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ht="15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ht="15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ht="15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ht="15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ht="15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ht="15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ht="15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ht="15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ht="15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ht="15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ht="15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ht="15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ht="15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ht="15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ht="15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ht="15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ht="15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ht="15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ht="15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ht="15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ht="15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ht="15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ht="15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ht="15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ht="15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ht="15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ht="15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ht="15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ht="15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ht="15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ht="15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ht="15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ht="15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ht="15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ht="15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ht="15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ht="15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ht="15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ht="15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ht="15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ht="15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ht="15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ht="15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ht="15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ht="15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ht="15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ht="15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ht="15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ht="15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ht="15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ht="15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ht="15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ht="15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ht="15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ht="15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ht="15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ht="15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ht="15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ht="15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ht="15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ht="15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ht="15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ht="15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ht="15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ht="15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ht="15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ht="15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ht="15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ht="15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ht="15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ht="15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ht="15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ht="15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ht="15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ht="15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ht="15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ht="15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ht="15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ht="15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ht="15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ht="15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ht="15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ht="15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ht="15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ht="15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ht="15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ht="15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ht="15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ht="15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ht="15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ht="15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ht="15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ht="15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ht="15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ht="15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ht="15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ht="15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ht="15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ht="15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ht="15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ht="15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ht="15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ht="15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ht="15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ht="15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ht="15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ht="15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ht="15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ht="15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ht="15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ht="15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ht="15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ht="15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ht="15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ht="15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ht="15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ht="15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ht="15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ht="15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ht="15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ht="15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ht="15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ht="15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ht="15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ht="15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ht="15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ht="15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ht="15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ht="15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ht="15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ht="15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ht="15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ht="15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ht="15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ht="15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ht="15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ht="15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ht="15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ht="15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ht="15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ht="15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ht="15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ht="15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ht="15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ht="15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ht="15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ht="15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ht="15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ht="15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ht="15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ht="15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ht="15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ht="15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ht="15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ht="15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ht="15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ht="15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ht="15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ht="15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ht="15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ht="15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ht="15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ht="15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ht="15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ht="15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ht="15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ht="15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ht="15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ht="15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ht="15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ht="15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ht="15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ht="15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ht="15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ht="15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ht="15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ht="15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ht="15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ht="15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ht="15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ht="15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ht="15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ht="15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ht="15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ht="15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ht="15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ht="15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ht="15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ht="15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ht="15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ht="15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ht="15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ht="15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ht="15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ht="15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ht="15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ht="15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ht="15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ht="15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ht="15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ht="15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ht="15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ht="15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ht="15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ht="15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ht="15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ht="15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ht="15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ht="15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ht="15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ht="15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ht="15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ht="15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ht="15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ht="15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ht="15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ht="15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ht="15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ht="15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ht="15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ht="15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ht="15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ht="15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ht="15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ht="15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ht="15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ht="15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ht="15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ht="15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ht="15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ht="15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ht="15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ht="15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ht="15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ht="15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ht="15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ht="15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ht="15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ht="15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ht="15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ht="15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ht="15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ht="15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ht="15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ht="15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ht="15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ht="15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ht="15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ht="15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ht="15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ht="15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ht="15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ht="15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ht="15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ht="15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ht="15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ht="15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ht="15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ht="15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ht="15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ht="15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ht="15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ht="15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ht="15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ht="15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ht="15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ht="15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ht="15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ht="15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ht="15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ht="15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ht="15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ht="15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ht="15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ht="15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ht="15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ht="15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ht="15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ht="15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ht="15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ht="15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ht="15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ht="15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ht="15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ht="15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ht="15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ht="15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ht="15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ht="15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ht="15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ht="15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ht="15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ht="15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ht="15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ht="15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ht="15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ht="15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ht="15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ht="15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ht="15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ht="15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ht="15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ht="15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ht="15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ht="15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ht="15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ht="15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ht="15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ht="15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ht="15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ht="15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ht="15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ht="15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ht="15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ht="15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ht="15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ht="15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ht="15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ht="15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ht="15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ht="15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ht="15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ht="15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ht="15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ht="15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ht="15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ht="15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ht="15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ht="15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ht="15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ht="15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ht="15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ht="15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ht="15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ht="15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ht="15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ht="15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ht="15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ht="15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ht="15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ht="15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ht="15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ht="15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ht="15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ht="15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ht="15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ht="15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ht="15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ht="15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ht="15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ht="15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ht="15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ht="15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ht="15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ht="15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ht="15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ht="15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ht="15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ht="15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ht="15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ht="15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ht="15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ht="15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ht="15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ht="15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ht="15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ht="15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ht="15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ht="15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ht="15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ht="15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ht="15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ht="15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ht="15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ht="15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ht="15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ht="15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ht="15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ht="15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ht="15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ht="15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ht="15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ht="15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ht="15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ht="15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ht="15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ht="15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ht="15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ht="15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ht="15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ht="15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ht="15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ht="15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ht="15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ht="15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ht="15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ht="15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ht="15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ht="15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ht="15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ht="15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ht="15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ht="15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ht="15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ht="15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ht="15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ht="15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ht="15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ht="15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ht="15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ht="15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ht="15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ht="15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ht="15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ht="15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ht="15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ht="15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ht="15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ht="15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ht="15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ht="15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ht="15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ht="15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ht="15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  <row r="1001" ht="15.75" customHeight="1">
      <c r="A1001" s="26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</row>
    <row r="1002" ht="15.75" customHeight="1">
      <c r="A1002" s="26"/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  <c r="Z1002" s="26"/>
    </row>
    <row r="1003" ht="15.75" customHeight="1">
      <c r="A1003" s="26"/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6"/>
      <c r="Z1003" s="26"/>
    </row>
    <row r="1004" ht="15.75" customHeight="1">
      <c r="A1004" s="26"/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26"/>
      <c r="T1004" s="26"/>
      <c r="U1004" s="26"/>
      <c r="V1004" s="26"/>
      <c r="W1004" s="26"/>
      <c r="X1004" s="26"/>
      <c r="Y1004" s="26"/>
      <c r="Z1004" s="26"/>
    </row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7.67"/>
    <col customWidth="1" min="2" max="2" width="14.22"/>
    <col customWidth="1" min="3" max="4" width="12.44"/>
    <col customWidth="1" min="5" max="6" width="10.67"/>
    <col customWidth="1" min="7" max="26" width="10.56"/>
  </cols>
  <sheetData>
    <row r="1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6.5" customHeight="1">
      <c r="A2" s="1" t="s">
        <v>138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6.5" customHeight="1">
      <c r="A4" s="1" t="s">
        <v>52</v>
      </c>
      <c r="B4" s="1">
        <f>Summary!E5</f>
        <v>2021</v>
      </c>
      <c r="C4" s="1">
        <f>Summary!G5</f>
        <v>2022</v>
      </c>
      <c r="D4" s="1">
        <f>Summary!I5</f>
        <v>2023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6.5" customHeight="1">
      <c r="A6" s="1" t="s">
        <v>139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6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6.5" customHeight="1">
      <c r="A8" s="2" t="s">
        <v>140</v>
      </c>
      <c r="B8" s="52">
        <v>0.0</v>
      </c>
      <c r="C8" s="52">
        <v>1.0</v>
      </c>
      <c r="D8" s="52">
        <v>2.0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6.5" customHeight="1">
      <c r="A9" s="2" t="s">
        <v>141</v>
      </c>
      <c r="B9" s="46">
        <v>0.0</v>
      </c>
      <c r="C9" s="46">
        <v>110000.0</v>
      </c>
      <c r="D9" s="46">
        <v>110000.0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6.5" customHeight="1">
      <c r="A10" s="1" t="s">
        <v>142</v>
      </c>
      <c r="B10" s="53">
        <f>B9*B8</f>
        <v>0</v>
      </c>
      <c r="C10" s="53">
        <f>(C9*0.5)*C8</f>
        <v>55000</v>
      </c>
      <c r="D10" s="53">
        <f>D9*D8</f>
        <v>220000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6.5" customHeight="1">
      <c r="A11" s="2"/>
      <c r="B11" s="46"/>
      <c r="C11" s="46"/>
      <c r="D11" s="4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6.5" customHeight="1">
      <c r="A12" s="1" t="s">
        <v>143</v>
      </c>
      <c r="B12" s="46"/>
      <c r="C12" s="46"/>
      <c r="D12" s="4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6.5" customHeight="1">
      <c r="A13" s="2"/>
      <c r="B13" s="46"/>
      <c r="C13" s="46"/>
      <c r="D13" s="4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6.5" customHeight="1">
      <c r="A14" s="2" t="s">
        <v>144</v>
      </c>
      <c r="B14" s="52">
        <v>0.0</v>
      </c>
      <c r="C14" s="52">
        <v>1.0</v>
      </c>
      <c r="D14" s="52">
        <v>2.0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6.5" customHeight="1">
      <c r="A15" s="2" t="s">
        <v>145</v>
      </c>
      <c r="B15" s="54">
        <v>0.0</v>
      </c>
      <c r="C15" s="46">
        <v>90000.0</v>
      </c>
      <c r="D15" s="46">
        <v>90000.0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6.5" customHeight="1">
      <c r="A16" s="1" t="s">
        <v>146</v>
      </c>
      <c r="B16" s="53">
        <f t="shared" ref="B16:D16" si="1">B14*B15</f>
        <v>0</v>
      </c>
      <c r="C16" s="53">
        <f t="shared" si="1"/>
        <v>90000</v>
      </c>
      <c r="D16" s="53">
        <f t="shared" si="1"/>
        <v>180000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6.5" customHeight="1">
      <c r="A17" s="2"/>
      <c r="B17" s="46"/>
      <c r="C17" s="46"/>
      <c r="D17" s="4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6.5" customHeight="1">
      <c r="A18" s="1" t="s">
        <v>31</v>
      </c>
      <c r="B18" s="46"/>
      <c r="C18" s="46"/>
      <c r="D18" s="4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6.5" customHeight="1">
      <c r="A19" s="2"/>
      <c r="B19" s="46" t="s">
        <v>147</v>
      </c>
      <c r="C19" s="46"/>
      <c r="D19" s="4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6.5" customHeight="1">
      <c r="A20" s="2" t="s">
        <v>148</v>
      </c>
      <c r="B20" s="52">
        <v>0.0</v>
      </c>
      <c r="C20" s="52">
        <v>1.0</v>
      </c>
      <c r="D20" s="52">
        <v>2.0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6.5" customHeight="1">
      <c r="A21" s="2" t="s">
        <v>149</v>
      </c>
      <c r="B21" s="54">
        <v>0.0</v>
      </c>
      <c r="C21" s="46">
        <v>45000.0</v>
      </c>
      <c r="D21" s="46">
        <v>45000.0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6.5" customHeight="1">
      <c r="A22" s="2" t="s">
        <v>150</v>
      </c>
      <c r="B22" s="52">
        <v>1.0</v>
      </c>
      <c r="C22" s="52">
        <v>2.0</v>
      </c>
      <c r="D22" s="52">
        <v>2.0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6.5" customHeight="1">
      <c r="A23" s="2" t="s">
        <v>151</v>
      </c>
      <c r="B23" s="46">
        <v>70000.0</v>
      </c>
      <c r="C23" s="46">
        <v>70000.0</v>
      </c>
      <c r="D23" s="46">
        <v>70000.0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6.5" customHeight="1">
      <c r="A24" s="1" t="s">
        <v>152</v>
      </c>
      <c r="B24" s="53">
        <f t="shared" ref="B24:D24" si="2">B20*B21+B22*B23</f>
        <v>70000</v>
      </c>
      <c r="C24" s="53">
        <f t="shared" si="2"/>
        <v>185000</v>
      </c>
      <c r="D24" s="53">
        <f t="shared" si="2"/>
        <v>230000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6.5" customHeight="1">
      <c r="A25" s="2"/>
      <c r="B25" s="46"/>
      <c r="C25" s="46"/>
      <c r="D25" s="4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6.5" customHeight="1">
      <c r="A26" s="1" t="s">
        <v>153</v>
      </c>
      <c r="B26" s="46"/>
      <c r="C26" s="46"/>
      <c r="D26" s="4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6.5" customHeight="1">
      <c r="A27" s="2"/>
      <c r="B27" s="46"/>
      <c r="C27" s="46"/>
      <c r="D27" s="4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6.5" customHeight="1">
      <c r="A28" s="2" t="s">
        <v>154</v>
      </c>
      <c r="B28" s="55">
        <v>0.0</v>
      </c>
      <c r="C28" s="55">
        <v>1.0</v>
      </c>
      <c r="D28" s="52">
        <v>3.0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6.5" customHeight="1">
      <c r="A29" s="2" t="s">
        <v>155</v>
      </c>
      <c r="B29" s="54">
        <v>0.0</v>
      </c>
      <c r="C29" s="56">
        <v>50000.0</v>
      </c>
      <c r="D29" s="56">
        <v>50000.0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6.5" customHeight="1">
      <c r="A30" s="1" t="s">
        <v>156</v>
      </c>
      <c r="B30" s="53">
        <f>B29</f>
        <v>0</v>
      </c>
      <c r="C30" s="53">
        <f t="shared" ref="C30:D30" si="3">C28*C29</f>
        <v>50000</v>
      </c>
      <c r="D30" s="53">
        <f t="shared" si="3"/>
        <v>150000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6.5" customHeight="1">
      <c r="A31" s="2"/>
      <c r="B31" s="46"/>
      <c r="C31" s="46"/>
      <c r="D31" s="46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6.5" customHeight="1">
      <c r="A32" s="1" t="s">
        <v>130</v>
      </c>
      <c r="B32" s="46"/>
      <c r="C32" s="46"/>
      <c r="D32" s="46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6.5" customHeight="1">
      <c r="A33" s="2"/>
      <c r="B33" s="46" t="s">
        <v>157</v>
      </c>
      <c r="C33" s="46"/>
      <c r="D33" s="46"/>
      <c r="E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6.5" customHeight="1">
      <c r="A34" s="2" t="s">
        <v>158</v>
      </c>
      <c r="B34" s="52">
        <v>1.0</v>
      </c>
      <c r="C34" s="52">
        <v>2.0</v>
      </c>
      <c r="D34" s="52">
        <v>3.0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6.5" customHeight="1">
      <c r="A35" s="2" t="s">
        <v>159</v>
      </c>
      <c r="B35" s="46">
        <v>50000.0</v>
      </c>
      <c r="C35" s="46">
        <v>50000.0</v>
      </c>
      <c r="D35" s="46">
        <v>50000.0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6.5" customHeight="1">
      <c r="A36" s="1" t="s">
        <v>160</v>
      </c>
      <c r="B36" s="53">
        <f t="shared" ref="B36:D36" si="4">B34*B35</f>
        <v>50000</v>
      </c>
      <c r="C36" s="53">
        <f t="shared" si="4"/>
        <v>100000</v>
      </c>
      <c r="D36" s="53">
        <f t="shared" si="4"/>
        <v>150000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6.5" customHeight="1">
      <c r="A37" s="2"/>
      <c r="B37" s="46"/>
      <c r="C37" s="46"/>
      <c r="D37" s="4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6.5" customHeight="1">
      <c r="A38" s="1" t="s">
        <v>161</v>
      </c>
      <c r="B38" s="46"/>
      <c r="C38" s="46"/>
      <c r="D38" s="46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6.5" customHeight="1">
      <c r="A39" s="2"/>
      <c r="B39" s="46"/>
      <c r="C39" s="46"/>
      <c r="D39" s="46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6.5" customHeight="1">
      <c r="A40" s="2" t="s">
        <v>162</v>
      </c>
      <c r="B40" s="52">
        <v>2.0</v>
      </c>
      <c r="C40" s="52">
        <v>2.0</v>
      </c>
      <c r="D40" s="52">
        <v>2.0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6.5" customHeight="1">
      <c r="A41" s="2" t="s">
        <v>163</v>
      </c>
      <c r="B41" s="46">
        <v>90000.0</v>
      </c>
      <c r="C41" s="46">
        <v>90000.0</v>
      </c>
      <c r="D41" s="46">
        <v>90000.0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6.5" customHeight="1">
      <c r="A42" s="1" t="s">
        <v>164</v>
      </c>
      <c r="B42" s="53">
        <f t="shared" ref="B42:D42" si="5">B40*B41</f>
        <v>180000</v>
      </c>
      <c r="C42" s="53">
        <f t="shared" si="5"/>
        <v>180000</v>
      </c>
      <c r="D42" s="53">
        <f t="shared" si="5"/>
        <v>180000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6.5" customHeight="1">
      <c r="A43" s="2"/>
      <c r="B43" s="46"/>
      <c r="C43" s="46"/>
      <c r="D43" s="46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6.5" customHeight="1">
      <c r="A44" s="2" t="s">
        <v>165</v>
      </c>
      <c r="B44" s="52">
        <f t="shared" ref="B44:D44" si="6">B8+B14+B20+B22+B28+B34+B40</f>
        <v>4</v>
      </c>
      <c r="C44" s="52">
        <f t="shared" si="6"/>
        <v>10</v>
      </c>
      <c r="D44" s="52">
        <f t="shared" si="6"/>
        <v>16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6.5" customHeight="1">
      <c r="A45" s="1" t="s">
        <v>166</v>
      </c>
      <c r="B45" s="53">
        <f t="shared" ref="B45:D45" si="7">B42+B36+B30+B24+B16+B10</f>
        <v>300000</v>
      </c>
      <c r="C45" s="53">
        <f t="shared" si="7"/>
        <v>660000</v>
      </c>
      <c r="D45" s="53">
        <f t="shared" si="7"/>
        <v>1110000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6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6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6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6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6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6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6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6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6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6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6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6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6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6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6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6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6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6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6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6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6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6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6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6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6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6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6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6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6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6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6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6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6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6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6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6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6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6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6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6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6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6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6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6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6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6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6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6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6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6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6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6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6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6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6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6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6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6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6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6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6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6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6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6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6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6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6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6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6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6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6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6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6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6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6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6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6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6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6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6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6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6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6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6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6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6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6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6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6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6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6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6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6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6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6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6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6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6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6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6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6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6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6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6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6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6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6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6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6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6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6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6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6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6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6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6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6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6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6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6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6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6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6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6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6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6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6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6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6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6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6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6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6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6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6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6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6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6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6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6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6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6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6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6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6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6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6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6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6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6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6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6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6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6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6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6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6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6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6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6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6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6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6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6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6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6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6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6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6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6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6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6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6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6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6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6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6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6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6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6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6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6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6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6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6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6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6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6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6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6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6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6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6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6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6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6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6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6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6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6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6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6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6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6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6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6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6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6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6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6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6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6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6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6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6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6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6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6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6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6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6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6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6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6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6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6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6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6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6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6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6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6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6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6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6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6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6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6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6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6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6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6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6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6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6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6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6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6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6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6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6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6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6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6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6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6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6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6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6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6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6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6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6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6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6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6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6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6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6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6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6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6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6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6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6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6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6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6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6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6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6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6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6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6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6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6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6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6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6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6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6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6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6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6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6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6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6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6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6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6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6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6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6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6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6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6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6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6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6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6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6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6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6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6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6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6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6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6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6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6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6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6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6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6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6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6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6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6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6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6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6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6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6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6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6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6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6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6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6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6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6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6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6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6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6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6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6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6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6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6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6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6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6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6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6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6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6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6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6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6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6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6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6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6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6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6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6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6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6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6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6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6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6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6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6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6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6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6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6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6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6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6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6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6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6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6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6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6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6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6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6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6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6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6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6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6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6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6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6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6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6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6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6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6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6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6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6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6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6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6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6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6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6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6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6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6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6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6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6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6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6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6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6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6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6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6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6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6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6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6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6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6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6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6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6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6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6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6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6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6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6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6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6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6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6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6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6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6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6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6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6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6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6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6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6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6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6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6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6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6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6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6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6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6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6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6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6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6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6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6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6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6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6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6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6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6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6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6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6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6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6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6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6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6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6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6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6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6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6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6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6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6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6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6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6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6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6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6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6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6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6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6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6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6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6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6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6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6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6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6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6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6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6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6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6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6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6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6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6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6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6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6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6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6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6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6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6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6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6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6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6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6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6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6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6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6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6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6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6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6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6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6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6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6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6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6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6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6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6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6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6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6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6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6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6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6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6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6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6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6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6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6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6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6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6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6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6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6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6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6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6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6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6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6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6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6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6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6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6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6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6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6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6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6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6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6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6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6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6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6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6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6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6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6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6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6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6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6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6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6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6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6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6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6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6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6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6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6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6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6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6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6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6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6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6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6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6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6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6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6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6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6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6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6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6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6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6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6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6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6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6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6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6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6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6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6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6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6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6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6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6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6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6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6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6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6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6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6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6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6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6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6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6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6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6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6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6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6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6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6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6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6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6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6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6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6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6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6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6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6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6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6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6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6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6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6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6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6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6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6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6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6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6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6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6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6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6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6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6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6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6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6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6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6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6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6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6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6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6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6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6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6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6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6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6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6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6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6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6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6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6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6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6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6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6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6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6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6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6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6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6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6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6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6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6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6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6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6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6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6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6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6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6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6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6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6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6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6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6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6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6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6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6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6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6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6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6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6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6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6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6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6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6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6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6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6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6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6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6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6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6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6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6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6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6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6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6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6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6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6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6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6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6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6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6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6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6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6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6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6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6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6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6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6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6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6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6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6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6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6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6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6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6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6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6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6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6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6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6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6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6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6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6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6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6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6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6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6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6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6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6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6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6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6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6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6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6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6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6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6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6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6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6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6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6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6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6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6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6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6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6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6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6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6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6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6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6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6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6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6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6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6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6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6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6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6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6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6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6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6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6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6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6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6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6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6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6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6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6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6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6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6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6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6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6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6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6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6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6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6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6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6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6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6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6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6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6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6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6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6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6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6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6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6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6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6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6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6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6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6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6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6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6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6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6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6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6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6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6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6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6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6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6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6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6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6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6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6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6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6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6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6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6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6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6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6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6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6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6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6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6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6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6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6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6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6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6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6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6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6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6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6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6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6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6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6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6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6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6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6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6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6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6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6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6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80.11"/>
    <col customWidth="1" min="2" max="2" width="14.44"/>
    <col customWidth="1" min="3" max="3" width="29.67"/>
    <col customWidth="1" min="4" max="4" width="8.67"/>
    <col customWidth="1" min="5" max="6" width="10.67"/>
    <col customWidth="1" min="7" max="26" width="10.56"/>
  </cols>
  <sheetData>
    <row r="1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6.5" customHeight="1">
      <c r="A2" s="1" t="s">
        <v>167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6.5" customHeight="1">
      <c r="A3" s="2"/>
      <c r="B3" s="1" t="s">
        <v>53</v>
      </c>
      <c r="C3" s="1" t="s">
        <v>168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6.5" customHeight="1">
      <c r="A4" s="1" t="s">
        <v>169</v>
      </c>
      <c r="B4" s="25">
        <v>3.722E8</v>
      </c>
      <c r="C4" s="14">
        <f>B4/B4</f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6.5" customHeight="1">
      <c r="A5" s="1" t="s">
        <v>170</v>
      </c>
      <c r="B5" s="25">
        <f>B4*0.84</f>
        <v>312648000</v>
      </c>
      <c r="C5" s="14">
        <f>B5/B4</f>
        <v>0.84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6.5" customHeight="1">
      <c r="A6" s="1" t="s">
        <v>171</v>
      </c>
      <c r="B6" s="25">
        <v>8.31E7</v>
      </c>
      <c r="C6" s="14">
        <f>B6/B4</f>
        <v>0.2232670607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6.5" customHeight="1">
      <c r="A7" s="1" t="s">
        <v>172</v>
      </c>
      <c r="B7" s="25">
        <v>9.055E7</v>
      </c>
      <c r="C7" s="14">
        <f>B7/B4</f>
        <v>0.2432831811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6.5" customHeight="1">
      <c r="A8" s="1" t="s">
        <v>173</v>
      </c>
      <c r="B8" s="25">
        <f>B5*C6</f>
        <v>69804000</v>
      </c>
      <c r="C8" s="14">
        <f>B8/B4</f>
        <v>0.187544331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6.5" customHeight="1">
      <c r="A9" s="1" t="s">
        <v>174</v>
      </c>
      <c r="B9" s="25">
        <f>B5*C7</f>
        <v>76062000</v>
      </c>
      <c r="C9" s="14">
        <f>B9/B4</f>
        <v>0.2043578721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6.5" customHeight="1">
      <c r="A10" s="1" t="s">
        <v>175</v>
      </c>
      <c r="B10" s="25">
        <f>B8+B9</f>
        <v>145866000</v>
      </c>
      <c r="C10" s="14">
        <f>B10/B4</f>
        <v>0.3919022031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6.5" customHeight="1">
      <c r="A11" s="1" t="s">
        <v>176</v>
      </c>
      <c r="B11" s="25">
        <f>B10*0.56</f>
        <v>81684960</v>
      </c>
      <c r="C11" s="14">
        <f>B11/B4</f>
        <v>0.2194652337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6.5" customHeight="1">
      <c r="A12" s="1" t="s">
        <v>177</v>
      </c>
      <c r="B12" s="25">
        <f>B11*0.025</f>
        <v>2042124</v>
      </c>
      <c r="C12" s="14">
        <f>B12/B4</f>
        <v>0.005486630844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6.5" customHeight="1">
      <c r="A13" s="2"/>
      <c r="B13" s="2"/>
      <c r="C13" s="7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6.5" customHeight="1">
      <c r="A14" s="1" t="s">
        <v>52</v>
      </c>
      <c r="B14" s="1">
        <v>2021.0</v>
      </c>
      <c r="C14" s="1">
        <v>2022.0</v>
      </c>
      <c r="D14" s="1">
        <v>2023.0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6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6.5" customHeight="1">
      <c r="A16" s="2" t="s">
        <v>178</v>
      </c>
      <c r="B16" s="25">
        <f>B12*0.002</f>
        <v>4084.248</v>
      </c>
      <c r="C16" s="25">
        <f>B12*0.004</f>
        <v>8168.496</v>
      </c>
      <c r="D16" s="25">
        <f>B12*0.008</f>
        <v>16336.992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6.5" customHeight="1">
      <c r="A17" s="2" t="s">
        <v>179</v>
      </c>
      <c r="B17" s="25">
        <f>B12*0.005</f>
        <v>10210.62</v>
      </c>
      <c r="C17" s="25">
        <f>B12*0.01</f>
        <v>20421.24</v>
      </c>
      <c r="D17" s="25">
        <f>B12*0.02</f>
        <v>40842.48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6.5" customHeight="1">
      <c r="A18" s="2" t="s">
        <v>180</v>
      </c>
      <c r="B18" s="25">
        <f t="shared" ref="B18:D18" si="1">B16*(0.3*0.7)</f>
        <v>857.69208</v>
      </c>
      <c r="C18" s="25">
        <f t="shared" si="1"/>
        <v>1715.38416</v>
      </c>
      <c r="D18" s="25">
        <f t="shared" si="1"/>
        <v>3430.76832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6.5" customHeight="1">
      <c r="A19" s="2" t="s">
        <v>181</v>
      </c>
      <c r="B19" s="25">
        <f t="shared" ref="B19:D19" si="2">B16*(0.3*0.3)</f>
        <v>367.58232</v>
      </c>
      <c r="C19" s="25">
        <f t="shared" si="2"/>
        <v>735.16464</v>
      </c>
      <c r="D19" s="25">
        <f t="shared" si="2"/>
        <v>1470.32928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6.5" customHeight="1">
      <c r="A20" s="2"/>
      <c r="B20" s="25"/>
      <c r="C20" s="25"/>
      <c r="D20" s="2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6.5" customHeight="1">
      <c r="A21" s="1" t="s">
        <v>182</v>
      </c>
      <c r="B21" s="1">
        <v>2021.0</v>
      </c>
      <c r="C21" s="1">
        <v>2022.0</v>
      </c>
      <c r="D21" s="1">
        <v>2023.0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6.5" customHeight="1">
      <c r="A22" s="2"/>
      <c r="B22" s="1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6.5" customHeight="1">
      <c r="A23" s="2" t="s">
        <v>183</v>
      </c>
      <c r="B23" s="2">
        <v>2.0</v>
      </c>
      <c r="C23" s="2">
        <v>2.0</v>
      </c>
      <c r="D23" s="2">
        <v>2.0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6.5" customHeight="1">
      <c r="A24" s="2" t="s">
        <v>184</v>
      </c>
      <c r="B24" s="2">
        <v>4.0</v>
      </c>
      <c r="C24" s="2">
        <v>4.0</v>
      </c>
      <c r="D24" s="2">
        <v>4.0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6.5" customHeight="1">
      <c r="A25" s="2" t="s">
        <v>185</v>
      </c>
      <c r="B25" s="17">
        <v>50.0</v>
      </c>
      <c r="C25" s="17">
        <v>60.0</v>
      </c>
      <c r="D25" s="17">
        <v>70.0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6.5" customHeight="1">
      <c r="A26" s="2" t="s">
        <v>186</v>
      </c>
      <c r="B26" s="57">
        <v>32.0</v>
      </c>
      <c r="C26" s="17">
        <v>42.0</v>
      </c>
      <c r="D26" s="17">
        <v>52.0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6.5" customHeight="1">
      <c r="A27" s="2" t="s">
        <v>187</v>
      </c>
      <c r="B27" s="17">
        <v>75.0</v>
      </c>
      <c r="C27" s="17">
        <f>(C25*C23)/2</f>
        <v>60</v>
      </c>
      <c r="D27" s="17">
        <f>(D25*D23)/3</f>
        <v>46.66666667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6.5" customHeight="1">
      <c r="A28" s="2" t="s">
        <v>188</v>
      </c>
      <c r="B28" s="17">
        <v>60.0</v>
      </c>
      <c r="C28" s="17">
        <f>(C26*C24)/3</f>
        <v>56</v>
      </c>
      <c r="D28" s="17">
        <f>(D26*D24)/4</f>
        <v>52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6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6.5" customHeight="1">
      <c r="A30" s="1" t="s">
        <v>189</v>
      </c>
      <c r="B30" s="32">
        <v>44440.0</v>
      </c>
      <c r="C30" s="32">
        <v>44470.0</v>
      </c>
      <c r="D30" s="32">
        <v>44501.0</v>
      </c>
      <c r="E30" s="32">
        <v>44531.0</v>
      </c>
      <c r="F30" s="32">
        <v>44562.0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6.5" customHeight="1">
      <c r="A31" s="2" t="s">
        <v>190</v>
      </c>
      <c r="B31" s="17">
        <v>100.0</v>
      </c>
      <c r="C31" s="17">
        <v>95.0</v>
      </c>
      <c r="D31" s="17">
        <v>90.0</v>
      </c>
      <c r="E31" s="17">
        <v>85.0</v>
      </c>
      <c r="F31" s="17">
        <v>80.0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6.5" customHeight="1">
      <c r="A32" s="2" t="s">
        <v>191</v>
      </c>
      <c r="B32" s="17">
        <f t="shared" ref="B32:F32" si="3">B31*0.8</f>
        <v>80</v>
      </c>
      <c r="C32" s="17">
        <f t="shared" si="3"/>
        <v>76</v>
      </c>
      <c r="D32" s="17">
        <f t="shared" si="3"/>
        <v>72</v>
      </c>
      <c r="E32" s="17">
        <f t="shared" si="3"/>
        <v>68</v>
      </c>
      <c r="F32" s="17">
        <f t="shared" si="3"/>
        <v>64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6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6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6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6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6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6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6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6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6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6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6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6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6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6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6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6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6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6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6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6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6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6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6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6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6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6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6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6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6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6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6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6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6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6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6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6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6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6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6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6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6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6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6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6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6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6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6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6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6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6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6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6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6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6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6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6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6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6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6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6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6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6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6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6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6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6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6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6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6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6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6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6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6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6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6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6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6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6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6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6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6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6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6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6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6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6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6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6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6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6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6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6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6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6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6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6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6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6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6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6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6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6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6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6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6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6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6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6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6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6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6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6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6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6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6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6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6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6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6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6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6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6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6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6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6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6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6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6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6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6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6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6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6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6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6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6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6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6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6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6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6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6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6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6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6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6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6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6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6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6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6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6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6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6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6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6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6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6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6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6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6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6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6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6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6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6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6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6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6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6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6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6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6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6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6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6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6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6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6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6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6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6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6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6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6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6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6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6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6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6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6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6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6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6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6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6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6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6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6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6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6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6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6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6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6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6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6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6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6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6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6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6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6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6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6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6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6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6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6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6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6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6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6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6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6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6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6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6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6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6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6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6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6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6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6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6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6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6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6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6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6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6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6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6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6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6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6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6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6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6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6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6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6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6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6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6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6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6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6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6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6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6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6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6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6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6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6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6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6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6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6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6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6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6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6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6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6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6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6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6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6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6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6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6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6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6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6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6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6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6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6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6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6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6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6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6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6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6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6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6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6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6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6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6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6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6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6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6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6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6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6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6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6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6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6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6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6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6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6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6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6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6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6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6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6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6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6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6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6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6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6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6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6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6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6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6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6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6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6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6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6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6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6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6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6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6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6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6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6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6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6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6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6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6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6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6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6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6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6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6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6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6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6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6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6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6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6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6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6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6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6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6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6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6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6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6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6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6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6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6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6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6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6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6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6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6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6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6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6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6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6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6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6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6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6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6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6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6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6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6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6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6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6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6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6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6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6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6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6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6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6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6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6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6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6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6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6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6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6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6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6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6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6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6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6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6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6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6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6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6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6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6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6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6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6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6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6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6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6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6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6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6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6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6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6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6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6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6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6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6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6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6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6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6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6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6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6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6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6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6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6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6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6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6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6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6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6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6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6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6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6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6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6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6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6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6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6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6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6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6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6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6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6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6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6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6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6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6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6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6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6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6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6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6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6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6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6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6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6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6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6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6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6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6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6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6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6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6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6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6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6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6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6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6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6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6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6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6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6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6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6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6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6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6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6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6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6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6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6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6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6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6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6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6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6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6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6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6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6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6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6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6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6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6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6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6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6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6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6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6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6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6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6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6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6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6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6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6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6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6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6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6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6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6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6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6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6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6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6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6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6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6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6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6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6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6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6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6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6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6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6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6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6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6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6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6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6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6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6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6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6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6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6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6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6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6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6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6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6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6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6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6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6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6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6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6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6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6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6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6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6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6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6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6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6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6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6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6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6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6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6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6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6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6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6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6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6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6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6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6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6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6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6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6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6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6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6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6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6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6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6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6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6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6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6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6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6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6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6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6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6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6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6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6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6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6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6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6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6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6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6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6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6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6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6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6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6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6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6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6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6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6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6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6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6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6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6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6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6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6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6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6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6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6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6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6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6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6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6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6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6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6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6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6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6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6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6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6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6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6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6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6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6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6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6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6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6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6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6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6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6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6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6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6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6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6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6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6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6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6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6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6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6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6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6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6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6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6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6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6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6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6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6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6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6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6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6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6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6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6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6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6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6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6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6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6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6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6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6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6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6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6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6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6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6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6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6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6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6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6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6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6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6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6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6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6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6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6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6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6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6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6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6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6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6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6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6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6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6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6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6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6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6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6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6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6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6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6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6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6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6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6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6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6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6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6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6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6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6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6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6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6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6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6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6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6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6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6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6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6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6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6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6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6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6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6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6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6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6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6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6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6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6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6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6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6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6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6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6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6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6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6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6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6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6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6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6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6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6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6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6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6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6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6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6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6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6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6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6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6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6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6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6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6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6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6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6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6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6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6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6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6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6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6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6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6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6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6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6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6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6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6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6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6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6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6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6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6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6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6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6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6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6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6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6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6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6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6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6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6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6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6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6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6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6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6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6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6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6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6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6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6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6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6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6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6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6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6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6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6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6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6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6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6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6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6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6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6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6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6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6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6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6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6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6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6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6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6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6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6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6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6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6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6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6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6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6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6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6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6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6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6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6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6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6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6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6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6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6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6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6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6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6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6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6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6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6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6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6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6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6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6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2020-04-18T15:35:03Z</dcterms:created>
  <dc:creator>Microsoft Office User</dc:creator>
</cp:coreProperties>
</file>